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C:\Users\jfreeman\Dropbox (RRS)\SRA Contract\Deliverables\Models\"/>
    </mc:Choice>
  </mc:AlternateContent>
  <workbookProtection workbookAlgorithmName="SHA-512" workbookHashValue="sIAPdmuKmUrIM+Tgc1ZW98LjTFw41sXOyIN/e19KV0B2odOAxE92Utnws0sPo8la9GmOjREKvBwG4q/1d/we8w==" workbookSaltValue="7MR03+wKI6MiDRfT9exw1g==" workbookSpinCount="100000" lockStructure="1"/>
  <bookViews>
    <workbookView xWindow="75" yWindow="465" windowWidth="16485" windowHeight="15540" tabRatio="500"/>
  </bookViews>
  <sheets>
    <sheet name="Instructions" sheetId="1" r:id="rId1"/>
    <sheet name="Input" sheetId="2" r:id="rId2"/>
    <sheet name="Results - Collection" sheetId="3" r:id="rId3"/>
    <sheet name="Results - Hub and Spoke" sheetId="4" r:id="rId4"/>
    <sheet name="DropDowns_LookUps" sheetId="7" state="hidden" r:id="rId5"/>
    <sheet name="Results - Transfer &amp; Processing" sheetId="5" state="hidden" r:id="rId6"/>
    <sheet name="Outputs" sheetId="6" state="hidden" r:id="rId7"/>
    <sheet name="AssumptionTables" sheetId="8" state="hidden" r:id="rId8"/>
    <sheet name="Transfer MRF Assumptions" sheetId="9" state="hidden" r:id="rId9"/>
    <sheet name="TonnageImpacts" sheetId="10" state="hidden" r:id="rId10"/>
    <sheet name="ContainerCosts" sheetId="11" state="hidden" r:id="rId11"/>
    <sheet name="TruckCosts" sheetId="12" state="hidden" r:id="rId12"/>
    <sheet name="StaffingCosts" sheetId="13" state="hidden" r:id="rId13"/>
    <sheet name="DisposalCostsRevenues" sheetId="14" state="hidden" r:id="rId14"/>
    <sheet name="Transfer MRF Outputs" sheetId="15" state="hidden" r:id="rId15"/>
    <sheet name="DropOff Capital Cost" sheetId="16" state="hidden" r:id="rId16"/>
  </sheets>
  <externalReferences>
    <externalReference r:id="rId17"/>
    <externalReference r:id="rId18"/>
  </externalReferences>
  <definedNames>
    <definedName name="_1st_Shift_capacity">'Transfer MRF Assumptions'!$B$24</definedName>
    <definedName name="_2nd_Shift_capacity">'Transfer MRF Assumptions'!$B$25</definedName>
    <definedName name="ACR">AssumptionTables!$C$41</definedName>
    <definedName name="Annual_Inflation_Rate">'Transfer MRF Assumptions'!$B$29</definedName>
    <definedName name="aseptic_test" localSheetId="2">#REF!</definedName>
    <definedName name="aseptic_test" localSheetId="5">#REF!</definedName>
    <definedName name="aseptic_test" localSheetId="14">#REF!</definedName>
    <definedName name="aseptic_test">#REF!</definedName>
    <definedName name="Baling_Wire_Costs" localSheetId="2">'Transfer MRF Assumptions'!#REF!</definedName>
    <definedName name="Baling_Wire_Costs" localSheetId="5">'Transfer MRF Assumptions'!#REF!</definedName>
    <definedName name="Baling_Wire_Costs" localSheetId="14">'Transfer MRF Assumptions'!#REF!</definedName>
    <definedName name="Baling_Wire_Costs">'Transfer MRF Assumptions'!#REF!</definedName>
    <definedName name="basket_price" localSheetId="2">'Transfer MRF Assumptions'!#REF!</definedName>
    <definedName name="basket_price" localSheetId="5">'Transfer MRF Assumptions'!#REF!</definedName>
    <definedName name="basket_price" localSheetId="14">'Transfer MRF Assumptions'!#REF!</definedName>
    <definedName name="basket_price">'Transfer MRF Assumptions'!#REF!</definedName>
    <definedName name="bb_materials" localSheetId="2">#REF!</definedName>
    <definedName name="bb_materials" localSheetId="5">#REF!</definedName>
    <definedName name="bb_materials" localSheetId="14">#REF!</definedName>
    <definedName name="bb_materials">#REF!</definedName>
    <definedName name="Benefits_Fringes">'Transfer MRF Assumptions'!$B$23</definedName>
    <definedName name="Building_Cost_Amortisation" localSheetId="14">'Transfer MRF Assumptions'!$B$35</definedName>
    <definedName name="Building_Cost_Amortisation">'Transfer MRF Assumptions'!$B$35</definedName>
    <definedName name="Building_Cost_Sensitivity" localSheetId="14">'Transfer MRF Assumptions'!$E$35</definedName>
    <definedName name="Building_Cost_Sensitivity">'Transfer MRF Assumptions'!$E$35</definedName>
    <definedName name="Building_insurance_cost_per__100_000" localSheetId="14">'Transfer MRF Assumptions'!$B$55</definedName>
    <definedName name="Building_insurance_cost_per__100_000">'Transfer MRF Assumptions'!$B$55</definedName>
    <definedName name="Building_Maintenance" localSheetId="14">'Transfer MRF Assumptions'!$B$43</definedName>
    <definedName name="Building_Maintenance">'Transfer MRF Assumptions'!$B$43</definedName>
    <definedName name="Building_Maintenance_Costs">'Transfer MRF Assumptions'!$E$43</definedName>
    <definedName name="Building_utilities">'Transfer MRF Assumptions'!$E$44</definedName>
    <definedName name="Building_Utility" localSheetId="14">'Transfer MRF Assumptions'!$B$44</definedName>
    <definedName name="Building_Utility">'Transfer MRF Assumptions'!$B$44</definedName>
    <definedName name="Capacity_Utilization">'Transfer MRF Assumptions'!$B$26</definedName>
    <definedName name="Capital_Inflation_Rate">'Transfer MRF Assumptions'!$B$29</definedName>
    <definedName name="Container_Price" localSheetId="2">'Transfer MRF Assumptions'!#REF!</definedName>
    <definedName name="Container_Price" localSheetId="5">'Transfer MRF Assumptions'!#REF!</definedName>
    <definedName name="Container_Price" localSheetId="14">'Transfer MRF Assumptions'!#REF!</definedName>
    <definedName name="Container_Price">'Transfer MRF Assumptions'!#REF!</definedName>
    <definedName name="Cost_of_Maintenance" localSheetId="2">#REF!</definedName>
    <definedName name="Cost_of_Maintenance" localSheetId="5">#REF!</definedName>
    <definedName name="Cost_of_Maintenance" localSheetId="14">#REF!</definedName>
    <definedName name="Cost_of_Maintenance">#REF!</definedName>
    <definedName name="Cubic_meter_per_square_foot">'Transfer MRF Assumptions'!$B$7</definedName>
    <definedName name="DensityDrop" localSheetId="8">DropDowns_LookUps!$E$2:$E$6</definedName>
    <definedName name="DensityDrop" localSheetId="14">DropDowns_LookUps!$E$2:$E$6</definedName>
    <definedName name="DensityDrop">DropDowns_LookUps!$E$2:$E$6</definedName>
    <definedName name="DH_Curbside_Cost_perton_per_mile">'Transfer MRF Assumptions'!$D$60</definedName>
    <definedName name="DistancetoLF" localSheetId="8">DropDowns_LookUps!$K$2:$K$7</definedName>
    <definedName name="DistancetoLF" localSheetId="14">DropDowns_LookUps!$K$2:$K$7</definedName>
    <definedName name="DistancetoLF">DropDowns_LookUps!$K$2:$K$7</definedName>
    <definedName name="DriverWages" localSheetId="14">'Transfer MRF Assumptions'!$F$16</definedName>
    <definedName name="DriverWages">'Transfer MRF Assumptions'!$F$16</definedName>
    <definedName name="Eq_Mantainance_Cost">'Transfer MRF Assumptions'!$B$46</definedName>
    <definedName name="Equipment_Amortisation" localSheetId="14">'Transfer MRF Assumptions'!$B$36</definedName>
    <definedName name="Equipment_Amortisation">'Transfer MRF Assumptions'!$B$36</definedName>
    <definedName name="Equipment_Sensitivity" localSheetId="14">'Transfer MRF Assumptions'!$E$36</definedName>
    <definedName name="Equipment_Sensitivity">'Transfer MRF Assumptions'!$E$36</definedName>
    <definedName name="EquipOperatorWages" localSheetId="14">'Transfer MRF Assumptions'!$F$17</definedName>
    <definedName name="EquipOperatorWages">'Transfer MRF Assumptions'!$F$17</definedName>
    <definedName name="Fiber_Price" localSheetId="2">#REF!</definedName>
    <definedName name="Fiber_Price" localSheetId="5">#REF!</definedName>
    <definedName name="Fiber_Price" localSheetId="14">#REF!</definedName>
    <definedName name="Fiber_Price">#REF!</definedName>
    <definedName name="Forklift">'Transfer MRF Assumptions'!$B$77</definedName>
    <definedName name="Glass" localSheetId="8">DropDowns_LookUps!$I$2:$I$3</definedName>
    <definedName name="Glass" localSheetId="14">DropDowns_LookUps!$I$2:$I$3</definedName>
    <definedName name="Glass">DropDowns_LookUps!$I$2:$I$3</definedName>
    <definedName name="Haul_Cost">'Transfer MRF Assumptions'!$B$53</definedName>
    <definedName name="Haul_Cost_Rolloff">'Transfer MRF Assumptions'!$B$54</definedName>
    <definedName name="Interest_Rate" localSheetId="14">'Transfer MRF Assumptions'!$B$32</definedName>
    <definedName name="Interest_Rate">'Transfer MRF Assumptions'!$B$32</definedName>
    <definedName name="Land_Cost_per_acre" localSheetId="14">'Transfer MRF Assumptions'!$B$34</definedName>
    <definedName name="Land_Cost_per_acre">'Transfer MRF Assumptions'!$B$34</definedName>
    <definedName name="Land_Cost_Sensitivity" localSheetId="14">'Transfer MRF Assumptions'!$E$34</definedName>
    <definedName name="Land_Cost_Sensitivity">'Transfer MRF Assumptions'!$E$34</definedName>
    <definedName name="Land_Inflation_Rate">'Transfer MRF Assumptions'!$B$30</definedName>
    <definedName name="lbs_per_metric_ton" localSheetId="14">'Transfer MRF Assumptions'!$B$4</definedName>
    <definedName name="lbs_per_metric_ton">'Transfer MRF Assumptions'!$B$4</definedName>
    <definedName name="LH_Cost_per_Ton_per_Mile" localSheetId="14">'Transfer MRF Assumptions'!$B$60</definedName>
    <definedName name="LH_Cost_per_Ton_per_Mile">'Transfer MRF Assumptions'!$B$60</definedName>
    <definedName name="LLoader" localSheetId="14">'Transfer MRF Assumptions'!$B$80</definedName>
    <definedName name="LLoader">'Transfer MRF Assumptions'!$B$80</definedName>
    <definedName name="Load_Limit" localSheetId="14">'Transfer MRF Assumptions'!$B$67</definedName>
    <definedName name="Load_Limit">'Transfer MRF Assumptions'!$B$67</definedName>
    <definedName name="Load_Limit_Rolloff" localSheetId="14">'Transfer MRF Assumptions'!$B$75</definedName>
    <definedName name="Load_Limit_Rolloff">'Transfer MRF Assumptions'!$B$75</definedName>
    <definedName name="MaintenaeWages" localSheetId="14">'Transfer MRF Assumptions'!$F$18</definedName>
    <definedName name="MaintenaeWages">'Transfer MRF Assumptions'!$F$18</definedName>
    <definedName name="Maintenance_Costs">'Transfer MRF Assumptions'!$E$46</definedName>
    <definedName name="Management_Allowance" localSheetId="14">'Transfer MRF Assumptions'!$B$52</definedName>
    <definedName name="Management_Allowance">'Transfer MRF Assumptions'!$B$52</definedName>
    <definedName name="Meter3_per_square_foot" localSheetId="2">#REF!</definedName>
    <definedName name="Meter3_per_square_foot" localSheetId="5">#REF!</definedName>
    <definedName name="Meter3_per_square_foot" localSheetId="14">#REF!</definedName>
    <definedName name="Meter3_per_square_foot">#REF!</definedName>
    <definedName name="MgmtWages" localSheetId="14">'Transfer MRF Assumptions'!$F$20</definedName>
    <definedName name="MgmtWages">'Transfer MRF Assumptions'!$F$20</definedName>
    <definedName name="Number_of_Hh_per_Drop_Off_site">AssumptionTables!$C$42</definedName>
    <definedName name="One_Way_Trip_Long_Haul_to_MRF" localSheetId="14">'Transfer MRF Assumptions'!$B$59</definedName>
    <definedName name="One_Way_Trip_Long_Haul_to_MRF">'Transfer MRF Assumptions'!$B$59</definedName>
    <definedName name="Operating_Inflation_Rate">'Transfer MRF Assumptions'!$B$31</definedName>
    <definedName name="Other_Price" localSheetId="2">'Transfer MRF Assumptions'!#REF!</definedName>
    <definedName name="Other_Price" localSheetId="5">'Transfer MRF Assumptions'!#REF!</definedName>
    <definedName name="Other_Price" localSheetId="14">'Transfer MRF Assumptions'!#REF!</definedName>
    <definedName name="Other_Price">'Transfer MRF Assumptions'!#REF!</definedName>
    <definedName name="ParticipationDrop" localSheetId="8">DropDowns_LookUps!$C$2:$C$6</definedName>
    <definedName name="ParticipationDrop" localSheetId="14">DropDowns_LookUps!$C$2:$C$6</definedName>
    <definedName name="ParticipationDrop">DropDowns_LookUps!$C$2:$C$6</definedName>
    <definedName name="PpundsperHH">DropDowns_LookUps!$G$2:$G$4</definedName>
    <definedName name="_xlnm.Print_Area" localSheetId="0">Instructions!$A$1:$O$46</definedName>
    <definedName name="_xlnm.Print_Area" localSheetId="6">Outputs!$B$1:$I$40</definedName>
    <definedName name="_xlnm.Print_Area" localSheetId="2">'Results - Collection'!$A$1:$I$111</definedName>
    <definedName name="_xlnm.Print_Area" localSheetId="5">'Results - Transfer &amp; Processing'!$B$1:$I$13</definedName>
    <definedName name="Process_Utilities_Costs">'Transfer MRF Assumptions'!$E$47</definedName>
    <definedName name="Process_Utility_Cost">'Transfer MRF Assumptions'!$B$47</definedName>
    <definedName name="Process_Utility_Costs" localSheetId="2">#REF!</definedName>
    <definedName name="Process_Utility_Costs" localSheetId="5">#REF!</definedName>
    <definedName name="Process_Utility_Costs" localSheetId="14">#REF!</definedName>
    <definedName name="Process_Utility_Costs">#REF!</definedName>
    <definedName name="Processing_Fuel_Costs" localSheetId="2">'Transfer MRF Assumptions'!#REF!</definedName>
    <definedName name="Processing_Fuel_Costs" localSheetId="5">'Transfer MRF Assumptions'!#REF!</definedName>
    <definedName name="Processing_Fuel_Costs" localSheetId="14">'Transfer MRF Assumptions'!#REF!</definedName>
    <definedName name="Processing_Fuel_Costs">'Transfer MRF Assumptions'!#REF!</definedName>
    <definedName name="Recycling">DropDowns_LookUps!$M$2:$M$7</definedName>
    <definedName name="Residue_Disposal_Cost">'Transfer MRF Assumptions'!$B$51</definedName>
    <definedName name="Residue_Tip_Fee" localSheetId="2">#REF!</definedName>
    <definedName name="Residue_Tip_Fee" localSheetId="5">#REF!</definedName>
    <definedName name="Residue_Tip_Fee" localSheetId="14">#REF!</definedName>
    <definedName name="Residue_Tip_Fee">#REF!</definedName>
    <definedName name="Revenue_Share" localSheetId="14">'Transfer MRF Assumptions'!$G$148</definedName>
    <definedName name="Revenue_Share">'Transfer MRF Assumptions'!$G$148</definedName>
    <definedName name="Rolling_Stock_Amortisation" localSheetId="14">'Transfer MRF Assumptions'!$B$37</definedName>
    <definedName name="Rolling_Stock_Amortisation">'Transfer MRF Assumptions'!$B$37</definedName>
    <definedName name="Rolling_Stock_Sensitivity" localSheetId="14">'Transfer MRF Assumptions'!$E$37</definedName>
    <definedName name="Rolling_Stock_Sensitivity">'Transfer MRF Assumptions'!$E$37</definedName>
    <definedName name="Rolloff_Capacity">AssumptionTables!$C$43</definedName>
    <definedName name="Rollofff_Density">AssumptionTables!$C$45</definedName>
    <definedName name="Rollofff_Utilization_Factor">AssumptionTables!$C$44</definedName>
    <definedName name="Run__hours_per_shift">'Transfer MRF Assumptions'!$B$11</definedName>
    <definedName name="Safety_Office_Phone_Supplies">'Transfer MRF Assumptions'!$B$50</definedName>
    <definedName name="ScaleClericalWages" localSheetId="14">'Transfer MRF Assumptions'!$F$19</definedName>
    <definedName name="ScaleClericalWages">'Transfer MRF Assumptions'!$F$19</definedName>
    <definedName name="Site_and_Land_Cost_per_acre">'Transfer MRF Assumptions'!$B$34</definedName>
    <definedName name="Skidsteer" localSheetId="14">'Transfer MRF Assumptions'!$B$78</definedName>
    <definedName name="Skidsteer">'Transfer MRF Assumptions'!$B$78</definedName>
    <definedName name="SLoader">'Transfer MRF Assumptions'!$B$79</definedName>
    <definedName name="SorterWages" localSheetId="14">'Transfer MRF Assumptions'!$F$15</definedName>
    <definedName name="SorterWages">'Transfer MRF Assumptions'!$F$15</definedName>
    <definedName name="State_Drop_Down">DropDowns_LookUps!$K$2:$K$7</definedName>
    <definedName name="StateDropDown">DropDowns_LookUps!$K$2:$K$7</definedName>
    <definedName name="Tax_Rate" localSheetId="14">'Transfer MRF Assumptions'!$B$33</definedName>
    <definedName name="Tax_Rate">'Transfer MRF Assumptions'!$B$33</definedName>
    <definedName name="tbl_AggGroup">'[1]Fee Allocation'!$D$15:$D$37</definedName>
    <definedName name="tbl_BBRevenue" localSheetId="2">#REF!</definedName>
    <definedName name="tbl_BBRevenue" localSheetId="5">#REF!</definedName>
    <definedName name="tbl_BBRevenue" localSheetId="14">#REF!</definedName>
    <definedName name="tbl_BBRevenue">#REF!</definedName>
    <definedName name="tbl_BPScore" localSheetId="2">'[2]Tonnes by Material'!#REF!</definedName>
    <definedName name="tbl_BPScore" localSheetId="5">'[2]Tonnes by Material'!#REF!</definedName>
    <definedName name="tbl_BPScore">'[2]Tonnes by Material'!#REF!</definedName>
    <definedName name="tbl_DisaggFees">'[1]Fee Allocation'!$B$15:$AD$37</definedName>
    <definedName name="tbl_FeeSchedule">'[1]Fee Schedule'!$B$6:$G$28</definedName>
    <definedName name="tbl_FurtherAgg">'[1]Fee Allocation'!$E$15:$E$37</definedName>
    <definedName name="tbl_MaterialInputs">'[1]Material Inputs'!$B$6:$N$28</definedName>
    <definedName name="tbl_MunicipalGroups" localSheetId="2">#REF!</definedName>
    <definedName name="tbl_MunicipalGroups" localSheetId="5">#REF!</definedName>
    <definedName name="tbl_MunicipalGroups" localSheetId="14">#REF!</definedName>
    <definedName name="tbl_MunicipalGroups">#REF!</definedName>
    <definedName name="tbl_PartialAgg">'[1]Fee Schedule'!$I$6:$K$11</definedName>
    <definedName name="tbl_ThreeFactors">'[1]Fee Allocation'!$H$5:$M$10</definedName>
    <definedName name="Transfer_Cost_per__sq_feet">'Transfer MRF Assumptions'!$B$114</definedName>
    <definedName name="Wage_Inflation_Rate">'Transfer MRF Assumptions'!$B$22</definedName>
    <definedName name="Workdays_per_Year" localSheetId="14">'Transfer MRF Assumptions'!$B$83</definedName>
    <definedName name="Workdays_per_Year">'Transfer MRF Assumptions'!$B$83</definedName>
    <definedName name="Xfer_Fuel" localSheetId="14">'Transfer MRF Assumptions'!$B$48</definedName>
    <definedName name="Xfer_Fuel">'Transfer MRF Assumptions'!$B$48</definedName>
    <definedName name="Xfer_Maint" localSheetId="14">'Transfer MRF Assumptions'!$B$49</definedName>
    <definedName name="Xfer_Maint">'Transfer MRF Assumptions'!$B$49</definedName>
    <definedName name="Yard_Mule" localSheetId="14">'Transfer MRF Assumptions'!$B$81</definedName>
    <definedName name="Yard_Mule">'Transfer MRF Assumptions'!$B$81</definedName>
    <definedName name="Years_till_2025">'Transfer MRF Assumptions'!$B$38</definedName>
    <definedName name="Z_C1E42E27_80DF_5D46_A74B_2BA4AA86045C_.wvu.Cols" localSheetId="7" hidden="1">AssumptionTables!$E:$F</definedName>
    <definedName name="Z_C1E42E27_80DF_5D46_A74B_2BA4AA86045C_.wvu.PrintArea" localSheetId="0" hidden="1">Instructions!$A$1:$O$46</definedName>
    <definedName name="Z_C1E42E27_80DF_5D46_A74B_2BA4AA86045C_.wvu.PrintArea" localSheetId="6" hidden="1">Outputs!$B$1:$I$40</definedName>
    <definedName name="Z_C1E42E27_80DF_5D46_A74B_2BA4AA86045C_.wvu.PrintArea" localSheetId="2" hidden="1">'Results - Collection'!$A$1:$I$111</definedName>
    <definedName name="Z_C1E42E27_80DF_5D46_A74B_2BA4AA86045C_.wvu.PrintArea" localSheetId="5" hidden="1">'Results - Transfer &amp; Processing'!$B$1:$I$13</definedName>
    <definedName name="Z_C1E42E27_80DF_5D46_A74B_2BA4AA86045C_.wvu.Rows" localSheetId="3" hidden="1">'Results - Hub and Spoke'!$14:$14</definedName>
    <definedName name="Z_C6E026A6_065F_4BC7_8A1C_5537BAE31A06_.wvu.Cols" localSheetId="7" hidden="1">AssumptionTables!$E:$F</definedName>
    <definedName name="Z_C6E026A6_065F_4BC7_8A1C_5537BAE31A06_.wvu.PrintArea" localSheetId="0" hidden="1">Instructions!$A$1:$O$46</definedName>
    <definedName name="Z_C6E026A6_065F_4BC7_8A1C_5537BAE31A06_.wvu.PrintArea" localSheetId="6" hidden="1">Outputs!$B$1:$I$40</definedName>
    <definedName name="Z_C6E026A6_065F_4BC7_8A1C_5537BAE31A06_.wvu.PrintArea" localSheetId="2" hidden="1">'Results - Collection'!$A$1:$I$111</definedName>
    <definedName name="Z_C6E026A6_065F_4BC7_8A1C_5537BAE31A06_.wvu.PrintArea" localSheetId="5" hidden="1">'Results - Transfer &amp; Processing'!$B$1:$I$13</definedName>
    <definedName name="Z_C6E026A6_065F_4BC7_8A1C_5537BAE31A06_.wvu.Rows" localSheetId="3" hidden="1">'Results - Hub and Spoke'!$14:$14</definedName>
  </definedNames>
  <calcPr calcId="171027"/>
  <customWorkbookViews>
    <customWorkbookView name="Juri Freeman - Personal View" guid="{C6E026A6-065F-4BC7-8A1C-5537BAE31A06}" mergeInterval="0" personalView="1" maximized="1" xWindow="-8" yWindow="-8" windowWidth="1382" windowHeight="744" tabRatio="500" activeSheetId="2" showFormulaBar="0"/>
    <customWorkbookView name="David Stead - Personal View" guid="{C1E42E27-80DF-5D46-A74B-2BA4AA86045C}" mergeInterval="0" personalView="1" windowWidth="824" windowHeight="604" tabRatio="500" activeSheetId="1" showComments="commNone"/>
    <customWorkbookView name="PrintView" guid="{487CB698-FD0E-4580-BCE5-B1F3904B4ADD}" includeHiddenRowCol="0" maximized="1" xWindow="-8" yWindow="-8" windowWidth="1382" windowHeight="744" activeSheetId="2"/>
  </customWorkbookViews>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I60" i="7" l="1"/>
  <c r="J60" i="7"/>
  <c r="I61" i="7"/>
  <c r="J61" i="7"/>
  <c r="I62" i="7"/>
  <c r="J62" i="7"/>
  <c r="I63" i="7"/>
  <c r="J63" i="7"/>
  <c r="I64" i="7"/>
  <c r="J64" i="7"/>
  <c r="I65" i="7"/>
  <c r="J65" i="7"/>
  <c r="I66" i="7"/>
  <c r="J66" i="7"/>
  <c r="J59" i="7"/>
  <c r="I59" i="7"/>
  <c r="H65" i="7"/>
  <c r="H66" i="7"/>
  <c r="H64" i="7"/>
  <c r="H60" i="7"/>
  <c r="H61" i="7"/>
  <c r="H62" i="7"/>
  <c r="H59" i="7"/>
  <c r="C13" i="4" l="1"/>
  <c r="C4" i="10"/>
  <c r="A32" i="7"/>
  <c r="A33" i="7"/>
  <c r="A34" i="7"/>
  <c r="A35" i="7"/>
  <c r="A29" i="7"/>
  <c r="B29" i="7"/>
  <c r="A30" i="7"/>
  <c r="B30" i="7"/>
  <c r="A31" i="7"/>
  <c r="B31" i="7"/>
  <c r="B32" i="7"/>
  <c r="B33" i="7"/>
  <c r="B34" i="7"/>
  <c r="B35" i="7"/>
  <c r="A36" i="7"/>
  <c r="B36" i="7"/>
  <c r="H24" i="15"/>
  <c r="H26" i="15"/>
  <c r="H37" i="15"/>
  <c r="H64" i="15"/>
  <c r="H65" i="15"/>
  <c r="F18" i="2"/>
  <c r="A13" i="7"/>
  <c r="A14" i="7"/>
  <c r="A15" i="7"/>
  <c r="A16" i="7"/>
  <c r="C15" i="7"/>
  <c r="E15" i="7"/>
  <c r="B16" i="7"/>
  <c r="C16" i="7"/>
  <c r="D16" i="7"/>
  <c r="E16" i="7"/>
  <c r="F16" i="7"/>
  <c r="G16" i="7"/>
  <c r="A17" i="7"/>
  <c r="B17" i="7"/>
  <c r="C17" i="7"/>
  <c r="D17" i="7"/>
  <c r="E17" i="7"/>
  <c r="G17" i="7"/>
  <c r="G5" i="10"/>
  <c r="E4" i="14"/>
  <c r="E9" i="14"/>
  <c r="G3" i="11"/>
  <c r="G4" i="11" s="1"/>
  <c r="G12" i="11"/>
  <c r="G14" i="11"/>
  <c r="H3" i="11"/>
  <c r="H4" i="11" s="1"/>
  <c r="H8" i="11" s="1"/>
  <c r="H9" i="11" s="1"/>
  <c r="H10" i="11" s="1"/>
  <c r="H45" i="7"/>
  <c r="N12" i="12"/>
  <c r="C12" i="12"/>
  <c r="M9" i="13"/>
  <c r="M10" i="13"/>
  <c r="M11" i="13"/>
  <c r="C9" i="13"/>
  <c r="C10" i="13"/>
  <c r="C11" i="13"/>
  <c r="A40" i="7"/>
  <c r="A41" i="7"/>
  <c r="A42" i="7"/>
  <c r="A43" i="7"/>
  <c r="C7" i="10"/>
  <c r="G45" i="12" s="1"/>
  <c r="F45" i="12" s="1"/>
  <c r="E45" i="12" s="1"/>
  <c r="D45" i="12" s="1"/>
  <c r="C45" i="12" s="1"/>
  <c r="B45" i="12" s="1"/>
  <c r="H41" i="7"/>
  <c r="H42" i="7"/>
  <c r="H47" i="7"/>
  <c r="S11" i="13"/>
  <c r="R11" i="13"/>
  <c r="Q11" i="13"/>
  <c r="P11" i="13"/>
  <c r="O11" i="13"/>
  <c r="N11" i="13"/>
  <c r="S10" i="13"/>
  <c r="R10" i="13"/>
  <c r="Q10" i="13"/>
  <c r="P10" i="13"/>
  <c r="O10" i="13"/>
  <c r="N10" i="13"/>
  <c r="S9" i="13"/>
  <c r="R9" i="13"/>
  <c r="Q9" i="13"/>
  <c r="P9" i="13"/>
  <c r="O9" i="13"/>
  <c r="N9" i="13"/>
  <c r="A21" i="7"/>
  <c r="A22" i="7"/>
  <c r="A23" i="7"/>
  <c r="B21" i="7"/>
  <c r="B23" i="7"/>
  <c r="B24" i="7"/>
  <c r="A88" i="7"/>
  <c r="A89" i="7"/>
  <c r="A90" i="7"/>
  <c r="A91" i="7"/>
  <c r="A92" i="7"/>
  <c r="A93" i="7"/>
  <c r="A94" i="7"/>
  <c r="P12" i="12"/>
  <c r="O12" i="12"/>
  <c r="Q12" i="12"/>
  <c r="R12" i="12"/>
  <c r="S12" i="12"/>
  <c r="T12" i="12"/>
  <c r="L6" i="12"/>
  <c r="L2" i="12"/>
  <c r="M2" i="12"/>
  <c r="N2" i="12"/>
  <c r="O2" i="12"/>
  <c r="P2" i="12"/>
  <c r="Q2" i="12"/>
  <c r="R2" i="12"/>
  <c r="S2" i="12"/>
  <c r="T2" i="12"/>
  <c r="L3" i="12"/>
  <c r="M3" i="12"/>
  <c r="L4" i="12"/>
  <c r="M4" i="12"/>
  <c r="L5" i="12"/>
  <c r="M5" i="12"/>
  <c r="L7" i="12"/>
  <c r="M7" i="12"/>
  <c r="L8" i="12"/>
  <c r="M8" i="12"/>
  <c r="L9" i="12"/>
  <c r="M9" i="12"/>
  <c r="L10" i="12"/>
  <c r="M10" i="12"/>
  <c r="L11" i="12"/>
  <c r="M11" i="12"/>
  <c r="L12" i="12"/>
  <c r="M12" i="12"/>
  <c r="L13" i="12"/>
  <c r="M13" i="12"/>
  <c r="L14" i="12"/>
  <c r="M14" i="12"/>
  <c r="L15" i="12"/>
  <c r="M15" i="12"/>
  <c r="L16" i="12"/>
  <c r="M16" i="12"/>
  <c r="L17" i="12"/>
  <c r="M17" i="12"/>
  <c r="L18" i="12"/>
  <c r="M18" i="12"/>
  <c r="L19" i="12"/>
  <c r="M19" i="12"/>
  <c r="L20" i="12"/>
  <c r="M20" i="12"/>
  <c r="L21" i="12"/>
  <c r="M21" i="12"/>
  <c r="L22" i="12"/>
  <c r="M22" i="12"/>
  <c r="L23" i="12"/>
  <c r="M23" i="12"/>
  <c r="L24" i="12"/>
  <c r="M24" i="12"/>
  <c r="L25" i="12"/>
  <c r="M25" i="12"/>
  <c r="L26" i="12"/>
  <c r="M26" i="12"/>
  <c r="L27" i="12"/>
  <c r="M27" i="12"/>
  <c r="L28" i="12"/>
  <c r="M28" i="12"/>
  <c r="L29" i="12"/>
  <c r="M29" i="12"/>
  <c r="M30" i="12"/>
  <c r="L31" i="12"/>
  <c r="M31" i="12"/>
  <c r="L32" i="12"/>
  <c r="M32" i="12"/>
  <c r="L33" i="12"/>
  <c r="M33" i="12"/>
  <c r="L34" i="12"/>
  <c r="M34" i="12"/>
  <c r="L35" i="12"/>
  <c r="M35" i="12"/>
  <c r="L36" i="12"/>
  <c r="M36" i="12"/>
  <c r="B41" i="7"/>
  <c r="D7" i="10"/>
  <c r="G41" i="7"/>
  <c r="G46" i="7"/>
  <c r="A53" i="7"/>
  <c r="A54" i="7"/>
  <c r="I10" i="10"/>
  <c r="C161" i="9"/>
  <c r="C168" i="9"/>
  <c r="C159" i="9"/>
  <c r="C167" i="9"/>
  <c r="C157" i="9"/>
  <c r="C166" i="9"/>
  <c r="C155" i="9"/>
  <c r="C165" i="9"/>
  <c r="C153" i="9"/>
  <c r="C164" i="9"/>
  <c r="C151" i="9"/>
  <c r="C163" i="9"/>
  <c r="C15" i="9"/>
  <c r="E15" i="9"/>
  <c r="F15" i="9"/>
  <c r="C16" i="9"/>
  <c r="E16" i="9"/>
  <c r="F16" i="9"/>
  <c r="C17" i="9"/>
  <c r="E17" i="9"/>
  <c r="F17" i="9"/>
  <c r="C18" i="9"/>
  <c r="E18" i="9"/>
  <c r="F18" i="9"/>
  <c r="C19" i="9"/>
  <c r="E19" i="9"/>
  <c r="F19" i="9"/>
  <c r="C20" i="9"/>
  <c r="E20" i="9"/>
  <c r="F20" i="9"/>
  <c r="C24" i="15"/>
  <c r="C26" i="15"/>
  <c r="C37" i="15"/>
  <c r="C41" i="7"/>
  <c r="D24" i="15"/>
  <c r="D26" i="15"/>
  <c r="D37" i="15"/>
  <c r="D41" i="7"/>
  <c r="E24" i="15"/>
  <c r="E26" i="15"/>
  <c r="E37" i="15"/>
  <c r="E41" i="7"/>
  <c r="F24" i="15"/>
  <c r="F26" i="15"/>
  <c r="F37" i="15"/>
  <c r="F41" i="7"/>
  <c r="H7" i="10"/>
  <c r="H10" i="10"/>
  <c r="G24" i="15"/>
  <c r="G26" i="15"/>
  <c r="G37" i="15"/>
  <c r="B24" i="15"/>
  <c r="D115" i="9"/>
  <c r="B31" i="15"/>
  <c r="B32" i="15"/>
  <c r="B33" i="15"/>
  <c r="B37" i="15"/>
  <c r="B26" i="15"/>
  <c r="C36" i="8"/>
  <c r="I6" i="11"/>
  <c r="I5" i="11"/>
  <c r="I12" i="11"/>
  <c r="I14" i="11"/>
  <c r="I13" i="11"/>
  <c r="I12" i="12"/>
  <c r="I9" i="13"/>
  <c r="I10" i="13"/>
  <c r="I11" i="13"/>
  <c r="B4" i="9"/>
  <c r="B64" i="9"/>
  <c r="B67" i="9"/>
  <c r="D75" i="9"/>
  <c r="D60" i="9"/>
  <c r="D59" i="9"/>
  <c r="B72" i="9"/>
  <c r="B75" i="9"/>
  <c r="E97" i="9"/>
  <c r="B83" i="9"/>
  <c r="E98" i="9"/>
  <c r="D2" i="4"/>
  <c r="A47" i="7"/>
  <c r="B30" i="6"/>
  <c r="B31" i="6"/>
  <c r="B32" i="6"/>
  <c r="B33" i="6"/>
  <c r="B34" i="6"/>
  <c r="B29" i="6"/>
  <c r="B22" i="16"/>
  <c r="B24" i="16"/>
  <c r="B29" i="16"/>
  <c r="D2" i="3"/>
  <c r="G42" i="7"/>
  <c r="G43" i="7"/>
  <c r="C42" i="8"/>
  <c r="B42" i="7"/>
  <c r="F42" i="7"/>
  <c r="F47" i="7"/>
  <c r="B65" i="15"/>
  <c r="C64" i="15"/>
  <c r="C65" i="15"/>
  <c r="D64" i="15"/>
  <c r="D65" i="15"/>
  <c r="E64" i="15"/>
  <c r="E65" i="15"/>
  <c r="F64" i="15"/>
  <c r="F65" i="15"/>
  <c r="G64" i="15"/>
  <c r="G65" i="15"/>
  <c r="B44" i="6"/>
  <c r="B43" i="6"/>
  <c r="C6" i="11"/>
  <c r="C2" i="5"/>
  <c r="D48" i="7"/>
  <c r="F48" i="7"/>
  <c r="E48" i="7"/>
  <c r="C48" i="7"/>
  <c r="G48" i="7"/>
  <c r="B48" i="7"/>
  <c r="H5" i="11"/>
  <c r="H6" i="11"/>
  <c r="H12" i="11"/>
  <c r="H14" i="11"/>
  <c r="H13" i="11"/>
  <c r="H12" i="12"/>
  <c r="H9" i="13"/>
  <c r="H10" i="13"/>
  <c r="H11" i="13"/>
  <c r="D5" i="11"/>
  <c r="D6" i="11"/>
  <c r="D12" i="11"/>
  <c r="D14" i="11"/>
  <c r="D13" i="11"/>
  <c r="F12" i="11"/>
  <c r="F14" i="11"/>
  <c r="F5" i="11"/>
  <c r="F6" i="11"/>
  <c r="D9" i="14"/>
  <c r="D12" i="12"/>
  <c r="D9" i="13"/>
  <c r="D10" i="13"/>
  <c r="D11" i="13"/>
  <c r="J43" i="7"/>
  <c r="J42" i="7"/>
  <c r="G6" i="11"/>
  <c r="E12" i="12"/>
  <c r="F12" i="12"/>
  <c r="G12" i="12"/>
  <c r="E22" i="7"/>
  <c r="D24" i="7"/>
  <c r="D25" i="7"/>
  <c r="E5" i="11"/>
  <c r="E6" i="11"/>
  <c r="E12" i="11"/>
  <c r="E14" i="11"/>
  <c r="E13" i="11"/>
  <c r="E9" i="13"/>
  <c r="E10" i="13"/>
  <c r="E11" i="13"/>
  <c r="F13" i="11"/>
  <c r="F9" i="13"/>
  <c r="F10" i="13"/>
  <c r="F11" i="13"/>
  <c r="G5" i="11"/>
  <c r="G13" i="11"/>
  <c r="G9" i="13"/>
  <c r="G10" i="13"/>
  <c r="G11" i="13"/>
  <c r="B49" i="6"/>
  <c r="B47" i="6"/>
  <c r="B48" i="6"/>
  <c r="I40" i="7"/>
  <c r="I21" i="7"/>
  <c r="D108" i="9"/>
  <c r="D109" i="9"/>
  <c r="D110" i="9"/>
  <c r="D123" i="9"/>
  <c r="I22" i="7"/>
  <c r="C14" i="11"/>
  <c r="E106" i="9"/>
  <c r="I23" i="7"/>
  <c r="I24" i="7"/>
  <c r="I25" i="7"/>
  <c r="H45" i="12"/>
  <c r="H46" i="12"/>
  <c r="H47" i="12"/>
  <c r="H48" i="12"/>
  <c r="H44" i="12"/>
  <c r="D116" i="9"/>
  <c r="D121" i="9"/>
  <c r="D120" i="9"/>
  <c r="D139" i="9"/>
  <c r="D140" i="9"/>
  <c r="D137" i="9"/>
  <c r="D106" i="9"/>
  <c r="D122" i="9"/>
  <c r="D127" i="9"/>
  <c r="H95" i="9"/>
  <c r="D45" i="7"/>
  <c r="E45" i="7"/>
  <c r="H16" i="7"/>
  <c r="H17" i="7"/>
  <c r="H106" i="9"/>
  <c r="H122" i="9"/>
  <c r="G106" i="9"/>
  <c r="G122" i="9"/>
  <c r="F106" i="9"/>
  <c r="F122" i="9"/>
  <c r="B45" i="6"/>
  <c r="F151" i="9"/>
  <c r="G151" i="9"/>
  <c r="H151" i="9"/>
  <c r="F150" i="9"/>
  <c r="G150" i="9"/>
  <c r="H150" i="9"/>
  <c r="H163" i="9"/>
  <c r="F152" i="9"/>
  <c r="G152" i="9"/>
  <c r="H152" i="9"/>
  <c r="F153" i="9"/>
  <c r="G153" i="9"/>
  <c r="H153" i="9"/>
  <c r="H164" i="9"/>
  <c r="F24" i="2"/>
  <c r="F160" i="9"/>
  <c r="G160" i="9"/>
  <c r="H160" i="9"/>
  <c r="F161" i="9"/>
  <c r="G161" i="9"/>
  <c r="H161" i="9"/>
  <c r="H168" i="9"/>
  <c r="E168" i="9"/>
  <c r="F158" i="9"/>
  <c r="G158" i="9"/>
  <c r="H158" i="9"/>
  <c r="F159" i="9"/>
  <c r="G159" i="9"/>
  <c r="H159" i="9"/>
  <c r="H167" i="9"/>
  <c r="E167" i="9"/>
  <c r="F156" i="9"/>
  <c r="G156" i="9"/>
  <c r="H156" i="9"/>
  <c r="F157" i="9"/>
  <c r="G157" i="9"/>
  <c r="H157" i="9"/>
  <c r="E166" i="9"/>
  <c r="F154" i="9"/>
  <c r="G154" i="9"/>
  <c r="H154" i="9"/>
  <c r="F155" i="9"/>
  <c r="G155" i="9"/>
  <c r="H155" i="9"/>
  <c r="E165" i="9"/>
  <c r="E164" i="9"/>
  <c r="E163" i="9"/>
  <c r="H137" i="9"/>
  <c r="H116" i="9"/>
  <c r="H121" i="9"/>
  <c r="H115" i="9"/>
  <c r="H108" i="9"/>
  <c r="G137" i="9"/>
  <c r="G116" i="9"/>
  <c r="G121" i="9"/>
  <c r="G115" i="9"/>
  <c r="G140" i="9"/>
  <c r="G108" i="9"/>
  <c r="F137" i="9"/>
  <c r="F116" i="9"/>
  <c r="F115" i="9"/>
  <c r="F120" i="9"/>
  <c r="F140" i="9"/>
  <c r="F108" i="9"/>
  <c r="E137" i="9"/>
  <c r="E116" i="9"/>
  <c r="E121" i="9"/>
  <c r="E115" i="9"/>
  <c r="E120" i="9"/>
  <c r="E139" i="9"/>
  <c r="E140" i="9"/>
  <c r="E122" i="9"/>
  <c r="E108" i="9"/>
  <c r="B139" i="9"/>
  <c r="H127" i="9"/>
  <c r="G127" i="9"/>
  <c r="F127" i="9"/>
  <c r="E127" i="9"/>
  <c r="B123" i="9"/>
  <c r="B122" i="9"/>
  <c r="B121" i="9"/>
  <c r="B120" i="9"/>
  <c r="C116" i="9"/>
  <c r="C114" i="9"/>
  <c r="C110" i="9"/>
  <c r="C95" i="9"/>
  <c r="B95" i="9"/>
  <c r="B9" i="9"/>
  <c r="C72" i="9"/>
  <c r="B66" i="9"/>
  <c r="C64" i="9"/>
  <c r="A60" i="7"/>
  <c r="A61" i="7"/>
  <c r="A62" i="7"/>
  <c r="A63" i="7"/>
  <c r="A65" i="7"/>
  <c r="A66" i="7"/>
  <c r="A59" i="7"/>
  <c r="A46" i="7"/>
  <c r="A45" i="7"/>
  <c r="A24" i="7"/>
  <c r="A25" i="7"/>
  <c r="B45" i="7"/>
  <c r="C45" i="7"/>
  <c r="F45" i="7"/>
  <c r="G45" i="7"/>
  <c r="B40" i="6"/>
  <c r="B37" i="6"/>
  <c r="B38" i="6"/>
  <c r="B36" i="6"/>
  <c r="B23" i="6"/>
  <c r="B27" i="6"/>
  <c r="B25" i="6"/>
  <c r="B26" i="6"/>
  <c r="B24" i="6"/>
  <c r="B18" i="6"/>
  <c r="B19" i="6"/>
  <c r="B20" i="6"/>
  <c r="B21" i="6"/>
  <c r="B17" i="6"/>
  <c r="F5" i="14"/>
  <c r="C54" i="7"/>
  <c r="D19" i="2"/>
  <c r="D8" i="2"/>
  <c r="B54" i="7"/>
  <c r="C2" i="6"/>
  <c r="I5" i="14"/>
  <c r="F46" i="7"/>
  <c r="C5" i="14"/>
  <c r="D5" i="14"/>
  <c r="B64" i="15"/>
  <c r="D117" i="9"/>
  <c r="H46" i="7"/>
  <c r="H4" i="14"/>
  <c r="D9" i="10"/>
  <c r="E49" i="7"/>
  <c r="E46" i="7"/>
  <c r="B46" i="7"/>
  <c r="G47" i="7"/>
  <c r="B47" i="7"/>
  <c r="B43" i="7"/>
  <c r="F49" i="7"/>
  <c r="D124" i="9"/>
  <c r="G9" i="10"/>
  <c r="C8" i="10"/>
  <c r="G4" i="14"/>
  <c r="F4" i="14"/>
  <c r="F8" i="10"/>
  <c r="G8" i="10"/>
  <c r="I9" i="10"/>
  <c r="A64" i="7"/>
  <c r="C73" i="9"/>
  <c r="C65" i="9"/>
  <c r="F43" i="7"/>
  <c r="I41" i="7"/>
  <c r="I42" i="7"/>
  <c r="H43" i="7"/>
  <c r="I43" i="7"/>
  <c r="E42" i="7"/>
  <c r="E47" i="7"/>
  <c r="E7" i="10"/>
  <c r="G49" i="7"/>
  <c r="F121" i="9"/>
  <c r="F117" i="9"/>
  <c r="G120" i="9"/>
  <c r="G117" i="9"/>
  <c r="E91" i="9"/>
  <c r="G139" i="9"/>
  <c r="H165" i="9"/>
  <c r="I4" i="14"/>
  <c r="F20" i="2"/>
  <c r="G73" i="15" s="1"/>
  <c r="H49" i="6" s="1"/>
  <c r="E43" i="7"/>
  <c r="F139" i="9"/>
  <c r="E92" i="9"/>
  <c r="E93" i="9"/>
  <c r="F7" i="10"/>
  <c r="D46" i="7"/>
  <c r="D42" i="7"/>
  <c r="D76" i="9"/>
  <c r="G60" i="9"/>
  <c r="E94" i="9"/>
  <c r="G97" i="9"/>
  <c r="G98" i="9"/>
  <c r="F97" i="9"/>
  <c r="F98" i="9"/>
  <c r="G135" i="9"/>
  <c r="D135" i="9"/>
  <c r="E135" i="9"/>
  <c r="F135" i="9"/>
  <c r="H135" i="9"/>
  <c r="G48" i="12"/>
  <c r="F48" i="12" s="1"/>
  <c r="E48" i="12" s="1"/>
  <c r="D48" i="12" s="1"/>
  <c r="C48" i="12" s="1"/>
  <c r="B48" i="12" s="1"/>
  <c r="G46" i="12"/>
  <c r="F46" i="12" s="1"/>
  <c r="E46" i="12" s="1"/>
  <c r="D46" i="12" s="1"/>
  <c r="C46" i="12"/>
  <c r="B46" i="12" s="1"/>
  <c r="E109" i="9"/>
  <c r="E110" i="9"/>
  <c r="E123" i="9"/>
  <c r="D141" i="9"/>
  <c r="E124" i="9"/>
  <c r="E141" i="9"/>
  <c r="H117" i="9"/>
  <c r="H120" i="9"/>
  <c r="E117" i="9"/>
  <c r="J41" i="7"/>
  <c r="J40" i="7"/>
  <c r="F5" i="12"/>
  <c r="Q5" i="12" s="1"/>
  <c r="Q6" i="12" s="1"/>
  <c r="H5" i="12"/>
  <c r="S5" i="12" s="1"/>
  <c r="S6" i="12" s="1"/>
  <c r="D5" i="12"/>
  <c r="O5" i="12" s="1"/>
  <c r="O6" i="12" s="1"/>
  <c r="E5" i="12"/>
  <c r="P5" i="12" s="1"/>
  <c r="P6" i="12" s="1"/>
  <c r="G5" i="12"/>
  <c r="R5" i="12" s="1"/>
  <c r="R6" i="12" s="1"/>
  <c r="I5" i="12"/>
  <c r="T5" i="12" s="1"/>
  <c r="T6" i="12" s="1"/>
  <c r="H139" i="9"/>
  <c r="H166" i="9"/>
  <c r="H140" i="9"/>
  <c r="H97" i="9"/>
  <c r="H98" i="9"/>
  <c r="E9" i="10"/>
  <c r="H8" i="10"/>
  <c r="D8" i="10"/>
  <c r="C9" i="10"/>
  <c r="F9" i="10"/>
  <c r="I8" i="10"/>
  <c r="H9" i="10"/>
  <c r="E8" i="10"/>
  <c r="H5" i="14"/>
  <c r="E5" i="14"/>
  <c r="G5" i="14"/>
  <c r="D49" i="7"/>
  <c r="C46" i="7"/>
  <c r="C42" i="7"/>
  <c r="G7" i="10"/>
  <c r="I7" i="10"/>
  <c r="E3" i="11"/>
  <c r="E4" i="11" s="1"/>
  <c r="E15" i="11" s="1"/>
  <c r="F3" i="11"/>
  <c r="F4" i="11" s="1"/>
  <c r="F11" i="11" s="1"/>
  <c r="E5" i="10"/>
  <c r="C5" i="10"/>
  <c r="D5" i="10"/>
  <c r="H5" i="10"/>
  <c r="I3" i="11"/>
  <c r="I4" i="11" s="1"/>
  <c r="I11" i="11" s="1"/>
  <c r="D3" i="11"/>
  <c r="D4" i="11" s="1"/>
  <c r="D15" i="11" s="1"/>
  <c r="C3" i="11"/>
  <c r="I5" i="10"/>
  <c r="F5" i="10"/>
  <c r="H94" i="9"/>
  <c r="H91" i="9"/>
  <c r="H93" i="9"/>
  <c r="H92" i="9"/>
  <c r="H109" i="9"/>
  <c r="H110" i="9"/>
  <c r="H123" i="9"/>
  <c r="D142" i="9"/>
  <c r="D143" i="9"/>
  <c r="D144" i="9"/>
  <c r="D43" i="7"/>
  <c r="D47" i="7"/>
  <c r="I9" i="14"/>
  <c r="F9" i="14"/>
  <c r="G9" i="14"/>
  <c r="E142" i="9"/>
  <c r="E143" i="9"/>
  <c r="E144" i="9"/>
  <c r="F91" i="9"/>
  <c r="F92" i="9"/>
  <c r="F109" i="9"/>
  <c r="F110" i="9"/>
  <c r="F123" i="9"/>
  <c r="F124" i="9"/>
  <c r="F141" i="9"/>
  <c r="F93" i="9"/>
  <c r="F94" i="9"/>
  <c r="H9" i="14"/>
  <c r="G93" i="9"/>
  <c r="G91" i="9"/>
  <c r="G94" i="9"/>
  <c r="G109" i="9"/>
  <c r="G110" i="9"/>
  <c r="G123" i="9"/>
  <c r="G124" i="9"/>
  <c r="G141" i="9"/>
  <c r="G92" i="9"/>
  <c r="H124" i="9"/>
  <c r="H141" i="9"/>
  <c r="C47" i="7"/>
  <c r="C43" i="7"/>
  <c r="G142" i="9"/>
  <c r="G143" i="9"/>
  <c r="G144" i="9"/>
  <c r="F142" i="9"/>
  <c r="F143" i="9"/>
  <c r="F144" i="9"/>
  <c r="H142" i="9"/>
  <c r="H143" i="9"/>
  <c r="H144" i="9"/>
  <c r="C6" i="10" l="1"/>
  <c r="C13" i="10" s="1"/>
  <c r="G47" i="12"/>
  <c r="F47" i="12" s="1"/>
  <c r="E47" i="12" s="1"/>
  <c r="D47" i="12" s="1"/>
  <c r="C47" i="12" s="1"/>
  <c r="B47" i="12" s="1"/>
  <c r="I3" i="14"/>
  <c r="E3" i="14"/>
  <c r="H3" i="14"/>
  <c r="G3" i="14"/>
  <c r="F3" i="14"/>
  <c r="C3" i="14"/>
  <c r="D3" i="14"/>
  <c r="H22" i="11"/>
  <c r="H18" i="6" s="1"/>
  <c r="I16" i="11"/>
  <c r="I15" i="11"/>
  <c r="I7" i="13"/>
  <c r="I8" i="11"/>
  <c r="I9" i="11" s="1"/>
  <c r="I10" i="11" s="1"/>
  <c r="H73" i="15"/>
  <c r="D73" i="15"/>
  <c r="C4" i="14"/>
  <c r="D4" i="14"/>
  <c r="E73" i="15"/>
  <c r="B73" i="15"/>
  <c r="F73" i="15"/>
  <c r="C73" i="15"/>
  <c r="F16" i="11"/>
  <c r="F7" i="13"/>
  <c r="F8" i="11"/>
  <c r="F9" i="11" s="1"/>
  <c r="F10" i="11" s="1"/>
  <c r="F15" i="11"/>
  <c r="G7" i="13"/>
  <c r="G15" i="11"/>
  <c r="G8" i="11"/>
  <c r="G9" i="11" s="1"/>
  <c r="G10" i="11" s="1"/>
  <c r="G11" i="11"/>
  <c r="G16" i="11" s="1"/>
  <c r="D8" i="11"/>
  <c r="D9" i="11" s="1"/>
  <c r="D10" i="11" s="1"/>
  <c r="D7" i="13"/>
  <c r="D11" i="11"/>
  <c r="D16" i="11" s="1"/>
  <c r="D23" i="11" s="1"/>
  <c r="E7" i="13"/>
  <c r="E11" i="11"/>
  <c r="E16" i="11" s="1"/>
  <c r="E23" i="11" s="1"/>
  <c r="E8" i="11"/>
  <c r="E9" i="11" s="1"/>
  <c r="E10" i="11" s="1"/>
  <c r="H7" i="13"/>
  <c r="H15" i="11"/>
  <c r="H11" i="11"/>
  <c r="H16" i="11" s="1"/>
  <c r="D4" i="10"/>
  <c r="B2" i="16"/>
  <c r="B2" i="15"/>
  <c r="B8" i="15" s="1"/>
  <c r="G44" i="12"/>
  <c r="F44" i="12" s="1"/>
  <c r="E44" i="12" s="1"/>
  <c r="D44" i="12" s="1"/>
  <c r="C44" i="12" s="1"/>
  <c r="B44" i="12" s="1"/>
  <c r="C3" i="12" l="1"/>
  <c r="N3" i="12" s="1"/>
  <c r="G23" i="11"/>
  <c r="G19" i="6" s="1"/>
  <c r="H21" i="11"/>
  <c r="H17" i="6" s="1"/>
  <c r="F23" i="11"/>
  <c r="F25" i="11" s="1"/>
  <c r="F21" i="6" s="1"/>
  <c r="I23" i="11"/>
  <c r="I19" i="6" s="1"/>
  <c r="D21" i="11"/>
  <c r="D22" i="11"/>
  <c r="D18" i="6" s="1"/>
  <c r="G8" i="13"/>
  <c r="Q7" i="13"/>
  <c r="Q8" i="13" s="1"/>
  <c r="F49" i="6"/>
  <c r="C4" i="12"/>
  <c r="B28" i="16"/>
  <c r="B6" i="16"/>
  <c r="B65" i="16" s="1"/>
  <c r="C29" i="6" s="1"/>
  <c r="C18" i="3" s="1"/>
  <c r="H8" i="13"/>
  <c r="R7" i="13"/>
  <c r="R8" i="13" s="1"/>
  <c r="E8" i="13"/>
  <c r="O7" i="13"/>
  <c r="O8" i="13" s="1"/>
  <c r="D49" i="6"/>
  <c r="I21" i="11"/>
  <c r="I22" i="11"/>
  <c r="I18" i="6" s="1"/>
  <c r="C6" i="3"/>
  <c r="C7" i="3" s="1"/>
  <c r="C6" i="5"/>
  <c r="C7" i="5" s="1"/>
  <c r="B3" i="15"/>
  <c r="B74" i="15" s="1"/>
  <c r="C6" i="6"/>
  <c r="B3" i="16"/>
  <c r="C6" i="14"/>
  <c r="C8" i="14" s="1"/>
  <c r="C2" i="15"/>
  <c r="D6" i="10"/>
  <c r="E4" i="10"/>
  <c r="G22" i="11"/>
  <c r="G18" i="6" s="1"/>
  <c r="G21" i="11"/>
  <c r="E19" i="6"/>
  <c r="E25" i="11"/>
  <c r="E21" i="6" s="1"/>
  <c r="D25" i="11"/>
  <c r="D21" i="6" s="1"/>
  <c r="D19" i="6"/>
  <c r="F21" i="11"/>
  <c r="F22" i="11"/>
  <c r="F18" i="6" s="1"/>
  <c r="G49" i="6"/>
  <c r="S7" i="13"/>
  <c r="S8" i="13" s="1"/>
  <c r="I8" i="13"/>
  <c r="H23" i="11"/>
  <c r="E22" i="11"/>
  <c r="E18" i="6" s="1"/>
  <c r="E21" i="11"/>
  <c r="D8" i="13"/>
  <c r="N7" i="13"/>
  <c r="N8" i="13" s="1"/>
  <c r="F8" i="13"/>
  <c r="P7" i="13"/>
  <c r="P8" i="13" s="1"/>
  <c r="C49" i="6"/>
  <c r="E49" i="6"/>
  <c r="H20" i="3"/>
  <c r="C14" i="10"/>
  <c r="C17" i="10" s="1"/>
  <c r="I49" i="6"/>
  <c r="G25" i="11" l="1"/>
  <c r="G21" i="6" s="1"/>
  <c r="I25" i="11"/>
  <c r="I21" i="6" s="1"/>
  <c r="H24" i="11"/>
  <c r="H20" i="6" s="1"/>
  <c r="F19" i="6"/>
  <c r="C13" i="14"/>
  <c r="D153" i="9"/>
  <c r="D156" i="9"/>
  <c r="E14" i="4"/>
  <c r="E13" i="4" s="1"/>
  <c r="D158" i="9"/>
  <c r="D14" i="4"/>
  <c r="D13" i="4" s="1"/>
  <c r="D159" i="9"/>
  <c r="D157" i="9"/>
  <c r="D160" i="9"/>
  <c r="D154" i="9"/>
  <c r="D150" i="9"/>
  <c r="D152" i="9"/>
  <c r="D151" i="9"/>
  <c r="D161" i="9"/>
  <c r="D155" i="9"/>
  <c r="F4" i="10"/>
  <c r="E6" i="10"/>
  <c r="D2" i="15"/>
  <c r="B49" i="15"/>
  <c r="B12" i="15"/>
  <c r="B16" i="15" s="1"/>
  <c r="B38" i="15" s="1"/>
  <c r="B46" i="15"/>
  <c r="B5" i="15"/>
  <c r="B78" i="15" s="1"/>
  <c r="B79" i="15" s="1"/>
  <c r="B80" i="15" s="1"/>
  <c r="B6" i="15"/>
  <c r="B7" i="15" s="1"/>
  <c r="B23" i="15"/>
  <c r="B18" i="15"/>
  <c r="B20" i="15" s="1"/>
  <c r="B39" i="15" s="1"/>
  <c r="B66" i="15"/>
  <c r="B48" i="15"/>
  <c r="B50" i="15"/>
  <c r="B47" i="15"/>
  <c r="B55" i="15"/>
  <c r="I24" i="11"/>
  <c r="I20" i="6" s="1"/>
  <c r="I17" i="6"/>
  <c r="S24" i="12"/>
  <c r="H24" i="12"/>
  <c r="H19" i="6"/>
  <c r="H25" i="11"/>
  <c r="H21" i="6" s="1"/>
  <c r="G17" i="6"/>
  <c r="G24" i="11"/>
  <c r="G20" i="6" s="1"/>
  <c r="D13" i="10"/>
  <c r="D3" i="12"/>
  <c r="D20" i="3"/>
  <c r="Q24" i="12"/>
  <c r="F24" i="12"/>
  <c r="P24" i="12"/>
  <c r="E24" i="12"/>
  <c r="D17" i="6"/>
  <c r="D24" i="11"/>
  <c r="D20" i="6" s="1"/>
  <c r="E20" i="3"/>
  <c r="D24" i="12"/>
  <c r="O24" i="12"/>
  <c r="T24" i="12"/>
  <c r="I24" i="12"/>
  <c r="F20" i="3"/>
  <c r="G20" i="3"/>
  <c r="B16" i="16"/>
  <c r="B18" i="16" s="1"/>
  <c r="B21" i="16"/>
  <c r="B23" i="16" s="1"/>
  <c r="B25" i="16" s="1"/>
  <c r="B44" i="16"/>
  <c r="B46" i="16"/>
  <c r="B4" i="16"/>
  <c r="B5" i="16" s="1"/>
  <c r="B47" i="16"/>
  <c r="B10" i="16"/>
  <c r="B14" i="16" s="1"/>
  <c r="B30" i="16"/>
  <c r="B31" i="16" s="1"/>
  <c r="B35" i="16" s="1"/>
  <c r="E24" i="11"/>
  <c r="E20" i="6" s="1"/>
  <c r="E17" i="6"/>
  <c r="F17" i="6"/>
  <c r="F24" i="11"/>
  <c r="F20" i="6" s="1"/>
  <c r="C7" i="6"/>
  <c r="C8" i="6"/>
  <c r="I20" i="3"/>
  <c r="C7" i="12"/>
  <c r="C8" i="12" s="1"/>
  <c r="C5" i="12"/>
  <c r="N5" i="12" s="1"/>
  <c r="N4" i="12"/>
  <c r="N7" i="12" s="1"/>
  <c r="N8" i="12" s="1"/>
  <c r="N9" i="12" s="1"/>
  <c r="G24" i="12"/>
  <c r="R24" i="12"/>
  <c r="G28" i="12" l="1"/>
  <c r="G25" i="12"/>
  <c r="G26" i="12" s="1"/>
  <c r="G27" i="12" s="1"/>
  <c r="M3" i="13"/>
  <c r="N10" i="12"/>
  <c r="N11" i="12" s="1"/>
  <c r="B49" i="16"/>
  <c r="T28" i="12"/>
  <c r="T25" i="12"/>
  <c r="T26" i="12" s="1"/>
  <c r="T27" i="12" s="1"/>
  <c r="P28" i="12"/>
  <c r="P25" i="12"/>
  <c r="P26" i="12" s="1"/>
  <c r="P27" i="12" s="1"/>
  <c r="O3" i="12"/>
  <c r="D4" i="12"/>
  <c r="S28" i="12"/>
  <c r="S25" i="12"/>
  <c r="S26" i="12" s="1"/>
  <c r="S27" i="12" s="1"/>
  <c r="B51" i="15"/>
  <c r="B43" i="15"/>
  <c r="O28" i="12"/>
  <c r="O25" i="12"/>
  <c r="O26" i="12" s="1"/>
  <c r="O27" i="12" s="1"/>
  <c r="D6" i="5"/>
  <c r="D7" i="5" s="1"/>
  <c r="D6" i="3"/>
  <c r="D7" i="3" s="1"/>
  <c r="C3" i="15"/>
  <c r="D6" i="14"/>
  <c r="D6" i="6"/>
  <c r="D14" i="10"/>
  <c r="D17" i="10" s="1"/>
  <c r="B52" i="15"/>
  <c r="B25" i="15"/>
  <c r="E3" i="12"/>
  <c r="E13" i="10"/>
  <c r="R28" i="12"/>
  <c r="R25" i="12"/>
  <c r="R26" i="12" s="1"/>
  <c r="R27" i="12" s="1"/>
  <c r="C9" i="12"/>
  <c r="C4" i="11"/>
  <c r="D25" i="12"/>
  <c r="D26" i="12" s="1"/>
  <c r="D27" i="12" s="1"/>
  <c r="D28" i="12"/>
  <c r="F25" i="12"/>
  <c r="F26" i="12" s="1"/>
  <c r="F27" i="12" s="1"/>
  <c r="F28" i="12"/>
  <c r="B38" i="16"/>
  <c r="B53" i="16"/>
  <c r="I28" i="12"/>
  <c r="I25" i="12"/>
  <c r="I26" i="12" s="1"/>
  <c r="I27" i="12" s="1"/>
  <c r="E28" i="12"/>
  <c r="E25" i="12"/>
  <c r="E26" i="12" s="1"/>
  <c r="E27" i="12" s="1"/>
  <c r="Q25" i="12"/>
  <c r="Q26" i="12" s="1"/>
  <c r="Q27" i="12" s="1"/>
  <c r="Q28" i="12"/>
  <c r="H28" i="12"/>
  <c r="H25" i="12"/>
  <c r="H26" i="12" s="1"/>
  <c r="H27" i="12" s="1"/>
  <c r="B68" i="15"/>
  <c r="B67" i="15"/>
  <c r="C48" i="6" s="1"/>
  <c r="B82" i="15"/>
  <c r="B83" i="15" s="1"/>
  <c r="B81" i="15"/>
  <c r="C56" i="6" s="1"/>
  <c r="C15" i="5" s="1"/>
  <c r="E2" i="15"/>
  <c r="G4" i="10"/>
  <c r="F6" i="10"/>
  <c r="B55" i="16" l="1"/>
  <c r="B68" i="16" s="1"/>
  <c r="C32" i="6" s="1"/>
  <c r="H4" i="10"/>
  <c r="F2" i="15"/>
  <c r="G6" i="10"/>
  <c r="B84" i="15"/>
  <c r="C57" i="6" s="1"/>
  <c r="C16" i="5" s="1"/>
  <c r="C58" i="6"/>
  <c r="B56" i="16"/>
  <c r="B57" i="16" s="1"/>
  <c r="B67" i="16"/>
  <c r="C31" i="6" s="1"/>
  <c r="C7" i="13"/>
  <c r="M7" i="13" s="1"/>
  <c r="C11" i="11"/>
  <c r="C16" i="11" s="1"/>
  <c r="C23" i="11" s="1"/>
  <c r="C8" i="11"/>
  <c r="C9" i="11" s="1"/>
  <c r="C10" i="11" s="1"/>
  <c r="D8" i="14"/>
  <c r="D13" i="14"/>
  <c r="D7" i="12"/>
  <c r="D8" i="12" s="1"/>
  <c r="D9" i="12" s="1"/>
  <c r="O4" i="12"/>
  <c r="O7" i="12" s="1"/>
  <c r="O8" i="12" s="1"/>
  <c r="O9" i="12" s="1"/>
  <c r="C10" i="12"/>
  <c r="C11" i="12" s="1"/>
  <c r="C3" i="13"/>
  <c r="D3" i="15"/>
  <c r="E6" i="14"/>
  <c r="E6" i="3"/>
  <c r="E7" i="3" s="1"/>
  <c r="E6" i="5"/>
  <c r="E7" i="5" s="1"/>
  <c r="E6" i="6"/>
  <c r="E14" i="10"/>
  <c r="E17" i="10" s="1"/>
  <c r="C47" i="15"/>
  <c r="C6" i="15"/>
  <c r="C7" i="15" s="1"/>
  <c r="C66" i="15"/>
  <c r="C23" i="15"/>
  <c r="C55" i="15"/>
  <c r="C49" i="15"/>
  <c r="C5" i="15"/>
  <c r="C78" i="15" s="1"/>
  <c r="C79" i="15" s="1"/>
  <c r="C80" i="15" s="1"/>
  <c r="C50" i="15"/>
  <c r="C12" i="15"/>
  <c r="C16" i="15" s="1"/>
  <c r="C38" i="15" s="1"/>
  <c r="C46" i="15"/>
  <c r="C48" i="15"/>
  <c r="C18" i="15"/>
  <c r="C20" i="15" s="1"/>
  <c r="C39" i="15" s="1"/>
  <c r="C74" i="15"/>
  <c r="M5" i="13"/>
  <c r="M17" i="13"/>
  <c r="E4" i="12"/>
  <c r="P3" i="12"/>
  <c r="F13" i="10"/>
  <c r="F3" i="12"/>
  <c r="B27" i="15"/>
  <c r="B36" i="15"/>
  <c r="D7" i="6"/>
  <c r="D8" i="6"/>
  <c r="N13" i="12"/>
  <c r="N14" i="12" s="1"/>
  <c r="N15" i="12" s="1"/>
  <c r="N16" i="12"/>
  <c r="N17" i="12"/>
  <c r="C25" i="11" l="1"/>
  <c r="C21" i="6" s="1"/>
  <c r="C19" i="6"/>
  <c r="C16" i="12"/>
  <c r="C13" i="12"/>
  <c r="C14" i="12" s="1"/>
  <c r="C15" i="12" s="1"/>
  <c r="C17" i="12"/>
  <c r="B53" i="15"/>
  <c r="C43" i="6"/>
  <c r="C9" i="5" s="1"/>
  <c r="F6" i="3"/>
  <c r="F7" i="3" s="1"/>
  <c r="F6" i="6"/>
  <c r="F6" i="14"/>
  <c r="F6" i="5"/>
  <c r="F7" i="5" s="1"/>
  <c r="E3" i="15"/>
  <c r="F14" i="10"/>
  <c r="F17" i="10" s="1"/>
  <c r="M6" i="13"/>
  <c r="M18" i="13" s="1"/>
  <c r="C43" i="15"/>
  <c r="C51" i="15"/>
  <c r="C82" i="15"/>
  <c r="C83" i="15" s="1"/>
  <c r="C81" i="15"/>
  <c r="D56" i="6" s="1"/>
  <c r="D15" i="5" s="1"/>
  <c r="E7" i="6"/>
  <c r="E8" i="6"/>
  <c r="E8" i="14"/>
  <c r="E13" i="14"/>
  <c r="H6" i="10"/>
  <c r="G2" i="15"/>
  <c r="I4" i="10"/>
  <c r="B40" i="15"/>
  <c r="B54" i="15"/>
  <c r="D12" i="15"/>
  <c r="D16" i="15" s="1"/>
  <c r="D38" i="15" s="1"/>
  <c r="D49" i="15"/>
  <c r="D48" i="15"/>
  <c r="D5" i="15"/>
  <c r="D78" i="15" s="1"/>
  <c r="D79" i="15" s="1"/>
  <c r="D80" i="15" s="1"/>
  <c r="D66" i="15"/>
  <c r="D50" i="15"/>
  <c r="D18" i="15"/>
  <c r="D20" i="15" s="1"/>
  <c r="D39" i="15" s="1"/>
  <c r="D55" i="15"/>
  <c r="D46" i="15"/>
  <c r="D47" i="15"/>
  <c r="D6" i="15"/>
  <c r="D7" i="15" s="1"/>
  <c r="D23" i="15"/>
  <c r="D74" i="15"/>
  <c r="N3" i="13"/>
  <c r="O10" i="12"/>
  <c r="O11" i="12" s="1"/>
  <c r="G3" i="12"/>
  <c r="G13" i="10"/>
  <c r="E7" i="12"/>
  <c r="E8" i="12" s="1"/>
  <c r="E9" i="12" s="1"/>
  <c r="P4" i="12"/>
  <c r="P7" i="12" s="1"/>
  <c r="P8" i="12" s="1"/>
  <c r="P9" i="12" s="1"/>
  <c r="C52" i="15"/>
  <c r="C25" i="15"/>
  <c r="C5" i="13"/>
  <c r="C17" i="13"/>
  <c r="C37" i="6" s="1"/>
  <c r="D10" i="12"/>
  <c r="D11" i="12" s="1"/>
  <c r="D3" i="13"/>
  <c r="E10" i="14"/>
  <c r="E11" i="14" s="1"/>
  <c r="E12" i="14" s="1"/>
  <c r="D10" i="14"/>
  <c r="D11" i="14" s="1"/>
  <c r="D12" i="14" s="1"/>
  <c r="D16" i="14" s="1"/>
  <c r="D40" i="6" s="1"/>
  <c r="D41" i="6" s="1"/>
  <c r="H10" i="14"/>
  <c r="H11" i="14" s="1"/>
  <c r="H12" i="14" s="1"/>
  <c r="F10" i="14"/>
  <c r="F11" i="14" s="1"/>
  <c r="F12" i="14" s="1"/>
  <c r="C10" i="14"/>
  <c r="C11" i="14" s="1"/>
  <c r="C12" i="14" s="1"/>
  <c r="C16" i="14" s="1"/>
  <c r="C40" i="6" s="1"/>
  <c r="C41" i="6" s="1"/>
  <c r="G10" i="14"/>
  <c r="G11" i="14" s="1"/>
  <c r="G12" i="14" s="1"/>
  <c r="I10" i="14"/>
  <c r="I11" i="14" s="1"/>
  <c r="I12" i="14" s="1"/>
  <c r="C22" i="11"/>
  <c r="C18" i="6" s="1"/>
  <c r="C21" i="11"/>
  <c r="B58" i="16"/>
  <c r="B59" i="16" s="1"/>
  <c r="Q3" i="12"/>
  <c r="F4" i="12"/>
  <c r="C68" i="15"/>
  <c r="C67" i="15"/>
  <c r="D48" i="6" s="1"/>
  <c r="C17" i="5"/>
  <c r="B56" i="15" l="1"/>
  <c r="M12" i="13"/>
  <c r="B60" i="16"/>
  <c r="B69" i="16"/>
  <c r="B61" i="16"/>
  <c r="B66" i="16"/>
  <c r="C30" i="6" s="1"/>
  <c r="C36" i="15"/>
  <c r="C27" i="15"/>
  <c r="M22" i="13"/>
  <c r="E16" i="14"/>
  <c r="E40" i="6" s="1"/>
  <c r="E41" i="6" s="1"/>
  <c r="E55" i="15"/>
  <c r="E5" i="15"/>
  <c r="E78" i="15" s="1"/>
  <c r="E79" i="15" s="1"/>
  <c r="E80" i="15" s="1"/>
  <c r="E49" i="15"/>
  <c r="E12" i="15"/>
  <c r="E16" i="15" s="1"/>
  <c r="E38" i="15" s="1"/>
  <c r="E23" i="15"/>
  <c r="E6" i="15"/>
  <c r="E7" i="15" s="1"/>
  <c r="E50" i="15"/>
  <c r="E48" i="15"/>
  <c r="E66" i="15"/>
  <c r="E46" i="15"/>
  <c r="E47" i="15"/>
  <c r="E18" i="15"/>
  <c r="E20" i="15" s="1"/>
  <c r="E39" i="15" s="1"/>
  <c r="E74" i="15"/>
  <c r="F7" i="12"/>
  <c r="F8" i="12" s="1"/>
  <c r="F9" i="12" s="1"/>
  <c r="Q4" i="12"/>
  <c r="Q7" i="12" s="1"/>
  <c r="Q8" i="12" s="1"/>
  <c r="Q9" i="12" s="1"/>
  <c r="C17" i="6"/>
  <c r="C24" i="11"/>
  <c r="C20" i="6" s="1"/>
  <c r="P10" i="12"/>
  <c r="P11" i="12" s="1"/>
  <c r="O3" i="13"/>
  <c r="G6" i="5"/>
  <c r="G7" i="5" s="1"/>
  <c r="G6" i="14"/>
  <c r="G6" i="3"/>
  <c r="G7" i="3" s="1"/>
  <c r="F3" i="15"/>
  <c r="G6" i="6"/>
  <c r="G14" i="10"/>
  <c r="G17" i="10" s="1"/>
  <c r="N17" i="13"/>
  <c r="N5" i="13"/>
  <c r="D82" i="15"/>
  <c r="D83" i="15" s="1"/>
  <c r="D81" i="15"/>
  <c r="E56" i="6" s="1"/>
  <c r="E15" i="5" s="1"/>
  <c r="B58" i="15"/>
  <c r="C44" i="6"/>
  <c r="I6" i="10"/>
  <c r="H2" i="15"/>
  <c r="D58" i="6"/>
  <c r="C84" i="15"/>
  <c r="D57" i="6" s="1"/>
  <c r="D16" i="5" s="1"/>
  <c r="M13" i="13"/>
  <c r="M16" i="13" s="1"/>
  <c r="D16" i="12"/>
  <c r="D17" i="12"/>
  <c r="D13" i="12"/>
  <c r="D14" i="12" s="1"/>
  <c r="D15" i="12" s="1"/>
  <c r="C6" i="13"/>
  <c r="C12" i="13" s="1"/>
  <c r="E10" i="12"/>
  <c r="E11" i="12" s="1"/>
  <c r="E3" i="13"/>
  <c r="G4" i="12"/>
  <c r="R3" i="12"/>
  <c r="D43" i="15"/>
  <c r="D51" i="15"/>
  <c r="D68" i="15"/>
  <c r="D67" i="15"/>
  <c r="E48" i="6" s="1"/>
  <c r="F13" i="14"/>
  <c r="F16" i="14" s="1"/>
  <c r="F40" i="6" s="1"/>
  <c r="F41" i="6" s="1"/>
  <c r="F8" i="14"/>
  <c r="D5" i="13"/>
  <c r="D17" i="13"/>
  <c r="D37" i="6" s="1"/>
  <c r="O16" i="12"/>
  <c r="O17" i="12"/>
  <c r="O13" i="12"/>
  <c r="O14" i="12" s="1"/>
  <c r="O15" i="12" s="1"/>
  <c r="D25" i="15"/>
  <c r="D52" i="15"/>
  <c r="H3" i="12"/>
  <c r="H13" i="10"/>
  <c r="F7" i="6"/>
  <c r="F8" i="6"/>
  <c r="N22" i="13" l="1"/>
  <c r="P16" i="12"/>
  <c r="P17" i="12"/>
  <c r="P13" i="12"/>
  <c r="P14" i="12" s="1"/>
  <c r="P15" i="12" s="1"/>
  <c r="G3" i="15"/>
  <c r="H6" i="14"/>
  <c r="H6" i="6"/>
  <c r="H6" i="3"/>
  <c r="H7" i="3" s="1"/>
  <c r="H6" i="5"/>
  <c r="H7" i="5" s="1"/>
  <c r="H14" i="10"/>
  <c r="H17" i="10" s="1"/>
  <c r="D6" i="13"/>
  <c r="D12" i="13" s="1"/>
  <c r="C13" i="13"/>
  <c r="C16" i="13" s="1"/>
  <c r="C36" i="6" s="1"/>
  <c r="B59" i="15"/>
  <c r="B60" i="15" s="1"/>
  <c r="F48" i="15"/>
  <c r="F66" i="15"/>
  <c r="F5" i="15"/>
  <c r="F78" i="15" s="1"/>
  <c r="F79" i="15" s="1"/>
  <c r="F80" i="15" s="1"/>
  <c r="F46" i="15"/>
  <c r="F55" i="15"/>
  <c r="F18" i="15"/>
  <c r="F20" i="15" s="1"/>
  <c r="F39" i="15" s="1"/>
  <c r="F23" i="15"/>
  <c r="F6" i="15"/>
  <c r="F7" i="15" s="1"/>
  <c r="F49" i="15"/>
  <c r="F50" i="15"/>
  <c r="F47" i="15"/>
  <c r="F12" i="15"/>
  <c r="F16" i="15" s="1"/>
  <c r="F38" i="15" s="1"/>
  <c r="F74" i="15"/>
  <c r="O17" i="13"/>
  <c r="O5" i="13"/>
  <c r="S3" i="12"/>
  <c r="H4" i="12"/>
  <c r="E5" i="13"/>
  <c r="E17" i="13"/>
  <c r="E37" i="6" s="1"/>
  <c r="N19" i="12"/>
  <c r="C18" i="13"/>
  <c r="C19" i="12"/>
  <c r="E43" i="15"/>
  <c r="E51" i="15"/>
  <c r="E16" i="12"/>
  <c r="E13" i="12"/>
  <c r="E14" i="12" s="1"/>
  <c r="E15" i="12" s="1"/>
  <c r="E17" i="12"/>
  <c r="I13" i="10"/>
  <c r="I3" i="12"/>
  <c r="E58" i="6"/>
  <c r="D84" i="15"/>
  <c r="E57" i="6" s="1"/>
  <c r="E16" i="5" s="1"/>
  <c r="G8" i="6"/>
  <c r="G7" i="6"/>
  <c r="G8" i="14"/>
  <c r="G13" i="14"/>
  <c r="G16" i="14" s="1"/>
  <c r="G40" i="6" s="1"/>
  <c r="G41" i="6" s="1"/>
  <c r="P3" i="13"/>
  <c r="Q10" i="12"/>
  <c r="Q11" i="12" s="1"/>
  <c r="E67" i="15"/>
  <c r="F48" i="6" s="1"/>
  <c r="E68" i="15"/>
  <c r="E52" i="15"/>
  <c r="E25" i="15"/>
  <c r="D36" i="15"/>
  <c r="D27" i="15"/>
  <c r="D17" i="5"/>
  <c r="C10" i="5"/>
  <c r="N6" i="13"/>
  <c r="N18" i="13" s="1"/>
  <c r="F3" i="13"/>
  <c r="F10" i="12"/>
  <c r="F11" i="12" s="1"/>
  <c r="E82" i="15"/>
  <c r="E83" i="15" s="1"/>
  <c r="E81" i="15"/>
  <c r="F56" i="6" s="1"/>
  <c r="F15" i="5" s="1"/>
  <c r="D43" i="6"/>
  <c r="D9" i="5" s="1"/>
  <c r="C53" i="15"/>
  <c r="C33" i="6"/>
  <c r="C21" i="3" s="1"/>
  <c r="B70" i="16"/>
  <c r="C34" i="6" s="1"/>
  <c r="G7" i="12"/>
  <c r="G8" i="12" s="1"/>
  <c r="G9" i="12" s="1"/>
  <c r="R4" i="12"/>
  <c r="R7" i="12" s="1"/>
  <c r="R8" i="12" s="1"/>
  <c r="R9" i="12" s="1"/>
  <c r="C54" i="15"/>
  <c r="C40" i="15"/>
  <c r="O22" i="13" l="1"/>
  <c r="C56" i="15"/>
  <c r="Q17" i="12"/>
  <c r="Q13" i="12"/>
  <c r="Q14" i="12" s="1"/>
  <c r="Q15" i="12" s="1"/>
  <c r="Q16" i="12"/>
  <c r="E36" i="15"/>
  <c r="E27" i="15"/>
  <c r="C31" i="12"/>
  <c r="C23" i="6" s="1"/>
  <c r="C16" i="3" s="1"/>
  <c r="C23" i="12"/>
  <c r="C18" i="12" s="1"/>
  <c r="C20" i="12"/>
  <c r="C21" i="12" s="1"/>
  <c r="C22" i="12" s="1"/>
  <c r="C33" i="12" s="1"/>
  <c r="C25" i="6" s="1"/>
  <c r="O6" i="13"/>
  <c r="O18" i="13" s="1"/>
  <c r="G3" i="13"/>
  <c r="G10" i="12"/>
  <c r="G11" i="12" s="1"/>
  <c r="F58" i="6"/>
  <c r="E84" i="15"/>
  <c r="F57" i="6" s="1"/>
  <c r="N12" i="13"/>
  <c r="P5" i="13"/>
  <c r="P17" i="13"/>
  <c r="I4" i="12"/>
  <c r="T3" i="12"/>
  <c r="C38" i="6"/>
  <c r="C17" i="3" s="1"/>
  <c r="M23" i="13"/>
  <c r="S4" i="12"/>
  <c r="S7" i="12" s="1"/>
  <c r="S8" i="12" s="1"/>
  <c r="S9" i="12" s="1"/>
  <c r="H7" i="12"/>
  <c r="H8" i="12" s="1"/>
  <c r="H9" i="12" s="1"/>
  <c r="F52" i="15"/>
  <c r="F25" i="15"/>
  <c r="D18" i="13"/>
  <c r="D38" i="6" s="1"/>
  <c r="D17" i="3" s="1"/>
  <c r="D19" i="12"/>
  <c r="O19" i="12"/>
  <c r="N23" i="12"/>
  <c r="N18" i="12" s="1"/>
  <c r="N20" i="12"/>
  <c r="N21" i="12" s="1"/>
  <c r="N22" i="12" s="1"/>
  <c r="N33" i="12" s="1"/>
  <c r="N41" i="12" s="1"/>
  <c r="N31" i="12"/>
  <c r="N39" i="12" s="1"/>
  <c r="F82" i="15"/>
  <c r="F83" i="15" s="1"/>
  <c r="F81" i="15"/>
  <c r="G56" i="6" s="1"/>
  <c r="G15" i="5" s="1"/>
  <c r="F68" i="15"/>
  <c r="F67" i="15"/>
  <c r="G48" i="6" s="1"/>
  <c r="H7" i="6"/>
  <c r="H8" i="6"/>
  <c r="C58" i="15"/>
  <c r="D44" i="6"/>
  <c r="E43" i="6"/>
  <c r="E9" i="5" s="1"/>
  <c r="D53" i="15"/>
  <c r="H3" i="15"/>
  <c r="I6" i="6"/>
  <c r="D6" i="4" s="1"/>
  <c r="I6" i="3"/>
  <c r="I7" i="3" s="1"/>
  <c r="I6" i="14"/>
  <c r="I6" i="5"/>
  <c r="I7" i="5" s="1"/>
  <c r="I14" i="10"/>
  <c r="I17" i="10" s="1"/>
  <c r="F5" i="13"/>
  <c r="F17" i="13"/>
  <c r="F37" i="6" s="1"/>
  <c r="D54" i="15"/>
  <c r="D40" i="15"/>
  <c r="H13" i="14"/>
  <c r="H16" i="14" s="1"/>
  <c r="H40" i="6" s="1"/>
  <c r="H41" i="6" s="1"/>
  <c r="H8" i="14"/>
  <c r="R10" i="12"/>
  <c r="R11" i="12" s="1"/>
  <c r="Q3" i="13"/>
  <c r="F17" i="12"/>
  <c r="F13" i="12"/>
  <c r="F14" i="12" s="1"/>
  <c r="F15" i="12" s="1"/>
  <c r="F16" i="12"/>
  <c r="E17" i="5"/>
  <c r="E6" i="13"/>
  <c r="E12" i="13" s="1"/>
  <c r="F43" i="15"/>
  <c r="F51" i="15"/>
  <c r="B61" i="15"/>
  <c r="B62" i="15"/>
  <c r="B71" i="15" s="1"/>
  <c r="B77" i="15" s="1"/>
  <c r="C51" i="6" s="1"/>
  <c r="C45" i="6"/>
  <c r="C46" i="6" s="1"/>
  <c r="D13" i="13"/>
  <c r="D16" i="13" s="1"/>
  <c r="D36" i="6" s="1"/>
  <c r="G12" i="15"/>
  <c r="G16" i="15" s="1"/>
  <c r="G38" i="15" s="1"/>
  <c r="G66" i="15"/>
  <c r="G18" i="15"/>
  <c r="G20" i="15" s="1"/>
  <c r="G39" i="15" s="1"/>
  <c r="G48" i="15"/>
  <c r="G47" i="15"/>
  <c r="G49" i="15"/>
  <c r="G50" i="15"/>
  <c r="G6" i="15"/>
  <c r="G7" i="15" s="1"/>
  <c r="G74" i="15"/>
  <c r="G55" i="15"/>
  <c r="G46" i="15"/>
  <c r="G5" i="15"/>
  <c r="G78" i="15" s="1"/>
  <c r="G79" i="15" s="1"/>
  <c r="G80" i="15" s="1"/>
  <c r="G23" i="15"/>
  <c r="M21" i="13"/>
  <c r="C65" i="6" s="1"/>
  <c r="E9" i="4" l="1"/>
  <c r="E11" i="4"/>
  <c r="F16" i="5"/>
  <c r="E10" i="4"/>
  <c r="D56" i="15"/>
  <c r="C11" i="5"/>
  <c r="R17" i="12"/>
  <c r="R16" i="12"/>
  <c r="R13" i="12"/>
  <c r="R14" i="12" s="1"/>
  <c r="R15" i="12" s="1"/>
  <c r="I8" i="6"/>
  <c r="I7" i="6"/>
  <c r="S10" i="12"/>
  <c r="S11" i="12" s="1"/>
  <c r="R3" i="13"/>
  <c r="P6" i="13"/>
  <c r="P18" i="13" s="1"/>
  <c r="G16" i="12"/>
  <c r="G17" i="12"/>
  <c r="G13" i="12"/>
  <c r="G14" i="12" s="1"/>
  <c r="G15" i="12" s="1"/>
  <c r="E53" i="15"/>
  <c r="F43" i="6"/>
  <c r="F9" i="5" s="1"/>
  <c r="G25" i="15"/>
  <c r="G52" i="15"/>
  <c r="G68" i="15"/>
  <c r="G67" i="15"/>
  <c r="H48" i="6" s="1"/>
  <c r="H49" i="15"/>
  <c r="H66" i="15"/>
  <c r="H12" i="15"/>
  <c r="H16" i="15" s="1"/>
  <c r="H38" i="15" s="1"/>
  <c r="H18" i="15"/>
  <c r="H20" i="15" s="1"/>
  <c r="H39" i="15" s="1"/>
  <c r="H48" i="15"/>
  <c r="H23" i="15"/>
  <c r="H47" i="15"/>
  <c r="H6" i="15"/>
  <c r="H7" i="15" s="1"/>
  <c r="H55" i="15"/>
  <c r="H5" i="15"/>
  <c r="H78" i="15" s="1"/>
  <c r="H79" i="15" s="1"/>
  <c r="H80" i="15" s="1"/>
  <c r="H46" i="15"/>
  <c r="H50" i="15"/>
  <c r="H74" i="15"/>
  <c r="C59" i="15"/>
  <c r="C60" i="15" s="1"/>
  <c r="F27" i="15"/>
  <c r="F36" i="15"/>
  <c r="N13" i="13"/>
  <c r="N16" i="13" s="1"/>
  <c r="N21" i="13" s="1"/>
  <c r="D65" i="6" s="1"/>
  <c r="C19" i="3"/>
  <c r="C15" i="6"/>
  <c r="C13" i="3" s="1"/>
  <c r="E54" i="15"/>
  <c r="E40" i="15"/>
  <c r="G82" i="15"/>
  <c r="G83" i="15" s="1"/>
  <c r="G81" i="15"/>
  <c r="H56" i="6" s="1"/>
  <c r="H15" i="5" s="1"/>
  <c r="E13" i="13"/>
  <c r="E16" i="13" s="1"/>
  <c r="E36" i="6" s="1"/>
  <c r="F6" i="13"/>
  <c r="I13" i="14"/>
  <c r="I16" i="14" s="1"/>
  <c r="I40" i="6" s="1"/>
  <c r="I41" i="6" s="1"/>
  <c r="I8" i="14"/>
  <c r="N34" i="12"/>
  <c r="N32" i="12"/>
  <c r="O31" i="12"/>
  <c r="O23" i="12"/>
  <c r="O18" i="12" s="1"/>
  <c r="O20" i="12"/>
  <c r="O21" i="12" s="1"/>
  <c r="O22" i="12" s="1"/>
  <c r="O33" i="12" s="1"/>
  <c r="T4" i="12"/>
  <c r="T7" i="12" s="1"/>
  <c r="T8" i="12" s="1"/>
  <c r="T9" i="12" s="1"/>
  <c r="I7" i="12"/>
  <c r="I8" i="12" s="1"/>
  <c r="I9" i="12" s="1"/>
  <c r="G5" i="13"/>
  <c r="G17" i="13"/>
  <c r="G37" i="6" s="1"/>
  <c r="C32" i="12"/>
  <c r="C34" i="12"/>
  <c r="G43" i="15"/>
  <c r="G51" i="15"/>
  <c r="B70" i="15"/>
  <c r="B76" i="15" s="1"/>
  <c r="C50" i="6" s="1"/>
  <c r="C47" i="6"/>
  <c r="E18" i="13"/>
  <c r="E38" i="6" s="1"/>
  <c r="E17" i="3" s="1"/>
  <c r="P19" i="12"/>
  <c r="E19" i="12"/>
  <c r="Q5" i="13"/>
  <c r="Q17" i="13"/>
  <c r="E44" i="6"/>
  <c r="D58" i="15"/>
  <c r="F84" i="15"/>
  <c r="G57" i="6" s="1"/>
  <c r="G16" i="5" s="1"/>
  <c r="G58" i="6"/>
  <c r="N23" i="13"/>
  <c r="D31" i="12"/>
  <c r="D23" i="6" s="1"/>
  <c r="D16" i="3" s="1"/>
  <c r="D23" i="12"/>
  <c r="D18" i="12" s="1"/>
  <c r="D20" i="12"/>
  <c r="D21" i="12" s="1"/>
  <c r="D22" i="12" s="1"/>
  <c r="D33" i="12" s="1"/>
  <c r="D25" i="6" s="1"/>
  <c r="H3" i="13"/>
  <c r="H10" i="12"/>
  <c r="H11" i="12" s="1"/>
  <c r="P22" i="13"/>
  <c r="F17" i="5"/>
  <c r="O12" i="13"/>
  <c r="D10" i="5"/>
  <c r="E56" i="15" l="1"/>
  <c r="Q22" i="13"/>
  <c r="C12" i="5"/>
  <c r="H16" i="12"/>
  <c r="H17" i="12"/>
  <c r="H13" i="12"/>
  <c r="H14" i="12" s="1"/>
  <c r="H15" i="12" s="1"/>
  <c r="O32" i="12"/>
  <c r="O34" i="12"/>
  <c r="E58" i="15"/>
  <c r="F44" i="6"/>
  <c r="C62" i="15"/>
  <c r="C71" i="15" s="1"/>
  <c r="C77" i="15" s="1"/>
  <c r="D51" i="6" s="1"/>
  <c r="D11" i="5" s="1"/>
  <c r="C61" i="15"/>
  <c r="D45" i="6"/>
  <c r="D46" i="6" s="1"/>
  <c r="H5" i="13"/>
  <c r="H17" i="13"/>
  <c r="H37" i="6" s="1"/>
  <c r="E10" i="5"/>
  <c r="P31" i="12"/>
  <c r="P20" i="12"/>
  <c r="P21" i="12" s="1"/>
  <c r="P22" i="12" s="1"/>
  <c r="P33" i="12" s="1"/>
  <c r="P23" i="12"/>
  <c r="P18" i="12" s="1"/>
  <c r="C26" i="6"/>
  <c r="C14" i="6" s="1"/>
  <c r="C10" i="3" s="1"/>
  <c r="C36" i="12"/>
  <c r="I10" i="12"/>
  <c r="I11" i="12" s="1"/>
  <c r="I3" i="13"/>
  <c r="O39" i="12"/>
  <c r="O23" i="13"/>
  <c r="P12" i="13"/>
  <c r="T10" i="12"/>
  <c r="T11" i="12" s="1"/>
  <c r="S3" i="13"/>
  <c r="F40" i="15"/>
  <c r="F54" i="15"/>
  <c r="H25" i="15"/>
  <c r="H52" i="15"/>
  <c r="D19" i="3"/>
  <c r="D15" i="6"/>
  <c r="D13" i="3" s="1"/>
  <c r="G17" i="5"/>
  <c r="C24" i="6"/>
  <c r="C35" i="12"/>
  <c r="C27" i="6" s="1"/>
  <c r="C10" i="6" s="1"/>
  <c r="N40" i="12"/>
  <c r="C64" i="6" s="1"/>
  <c r="C63" i="6" s="1"/>
  <c r="C62" i="6" s="1"/>
  <c r="N35" i="12"/>
  <c r="F19" i="12"/>
  <c r="F18" i="13"/>
  <c r="F38" i="6" s="1"/>
  <c r="F17" i="3" s="1"/>
  <c r="Q19" i="12"/>
  <c r="H82" i="15"/>
  <c r="H83" i="15" s="1"/>
  <c r="H81" i="15"/>
  <c r="I56" i="6" s="1"/>
  <c r="I15" i="5" s="1"/>
  <c r="H68" i="15"/>
  <c r="H67" i="15"/>
  <c r="I48" i="6" s="1"/>
  <c r="G27" i="15"/>
  <c r="G36" i="15"/>
  <c r="O13" i="13"/>
  <c r="O16" i="13" s="1"/>
  <c r="O21" i="13" s="1"/>
  <c r="E65" i="6" s="1"/>
  <c r="D32" i="12"/>
  <c r="D34" i="12"/>
  <c r="Q6" i="13"/>
  <c r="Q18" i="13" s="1"/>
  <c r="O41" i="12"/>
  <c r="N42" i="12"/>
  <c r="N36" i="12"/>
  <c r="N44" i="12" s="1"/>
  <c r="F12" i="13"/>
  <c r="G84" i="15"/>
  <c r="H57" i="6" s="1"/>
  <c r="H16" i="5" s="1"/>
  <c r="H58" i="6"/>
  <c r="F53" i="15"/>
  <c r="F56" i="15" s="1"/>
  <c r="G43" i="6"/>
  <c r="G9" i="5" s="1"/>
  <c r="R17" i="13"/>
  <c r="R22" i="13" s="1"/>
  <c r="R5" i="13"/>
  <c r="D59" i="15"/>
  <c r="D60" i="15" s="1"/>
  <c r="E20" i="12"/>
  <c r="E21" i="12" s="1"/>
  <c r="E22" i="12" s="1"/>
  <c r="E33" i="12" s="1"/>
  <c r="E25" i="6" s="1"/>
  <c r="E23" i="12"/>
  <c r="E18" i="12" s="1"/>
  <c r="E31" i="12"/>
  <c r="E23" i="6" s="1"/>
  <c r="E16" i="3" s="1"/>
  <c r="G6" i="13"/>
  <c r="G12" i="13" s="1"/>
  <c r="H43" i="15"/>
  <c r="H51" i="15"/>
  <c r="S13" i="12"/>
  <c r="S14" i="12" s="1"/>
  <c r="S15" i="12" s="1"/>
  <c r="S17" i="12"/>
  <c r="S16" i="12"/>
  <c r="N43" i="12" l="1"/>
  <c r="T16" i="12"/>
  <c r="T17" i="12"/>
  <c r="T13" i="12"/>
  <c r="T14" i="12" s="1"/>
  <c r="T15" i="12" s="1"/>
  <c r="I17" i="12"/>
  <c r="I16" i="12"/>
  <c r="I13" i="12"/>
  <c r="I14" i="12" s="1"/>
  <c r="I15" i="12" s="1"/>
  <c r="G13" i="13"/>
  <c r="G16" i="13" s="1"/>
  <c r="G36" i="6" s="1"/>
  <c r="Q12" i="13"/>
  <c r="Q20" i="12"/>
  <c r="Q21" i="12" s="1"/>
  <c r="Q22" i="12" s="1"/>
  <c r="Q33" i="12" s="1"/>
  <c r="Q31" i="12"/>
  <c r="Q23" i="12"/>
  <c r="Q18" i="12" s="1"/>
  <c r="P41" i="12"/>
  <c r="O40" i="12"/>
  <c r="D64" i="6" s="1"/>
  <c r="D63" i="6" s="1"/>
  <c r="D62" i="6" s="1"/>
  <c r="O35" i="12"/>
  <c r="E34" i="12"/>
  <c r="E32" i="12"/>
  <c r="H17" i="5"/>
  <c r="C12" i="6"/>
  <c r="C11" i="6"/>
  <c r="C53" i="6" s="1"/>
  <c r="C9" i="3"/>
  <c r="C13" i="6"/>
  <c r="G44" i="6"/>
  <c r="F58" i="15"/>
  <c r="P39" i="12"/>
  <c r="H6" i="13"/>
  <c r="H12" i="13" s="1"/>
  <c r="F10" i="5"/>
  <c r="R6" i="13"/>
  <c r="R18" i="13" s="1"/>
  <c r="E19" i="3"/>
  <c r="E15" i="6"/>
  <c r="E13" i="3" s="1"/>
  <c r="D36" i="12"/>
  <c r="D26" i="6"/>
  <c r="D14" i="6" s="1"/>
  <c r="D10" i="3" s="1"/>
  <c r="G54" i="15"/>
  <c r="G40" i="15"/>
  <c r="F20" i="12"/>
  <c r="F21" i="12" s="1"/>
  <c r="F22" i="12" s="1"/>
  <c r="F33" i="12" s="1"/>
  <c r="F25" i="6" s="1"/>
  <c r="F31" i="12"/>
  <c r="F23" i="6" s="1"/>
  <c r="F16" i="3" s="1"/>
  <c r="F23" i="12"/>
  <c r="F18" i="12" s="1"/>
  <c r="I5" i="13"/>
  <c r="I17" i="13"/>
  <c r="I37" i="6" s="1"/>
  <c r="E59" i="15"/>
  <c r="E60" i="15" s="1"/>
  <c r="G18" i="13"/>
  <c r="G38" i="6" s="1"/>
  <c r="G17" i="3" s="1"/>
  <c r="G19" i="12"/>
  <c r="R19" i="12"/>
  <c r="E45" i="6"/>
  <c r="E46" i="6" s="1"/>
  <c r="D62" i="15"/>
  <c r="D71" i="15" s="1"/>
  <c r="D77" i="15" s="1"/>
  <c r="E51" i="6" s="1"/>
  <c r="E11" i="5" s="1"/>
  <c r="D61" i="15"/>
  <c r="F13" i="13"/>
  <c r="F16" i="13" s="1"/>
  <c r="F36" i="6" s="1"/>
  <c r="D35" i="12"/>
  <c r="D27" i="6" s="1"/>
  <c r="D10" i="6" s="1"/>
  <c r="D24" i="6"/>
  <c r="H43" i="6"/>
  <c r="H9" i="5" s="1"/>
  <c r="G53" i="15"/>
  <c r="G56" i="15" s="1"/>
  <c r="H84" i="15"/>
  <c r="I57" i="6" s="1"/>
  <c r="I16" i="5" s="1"/>
  <c r="I58" i="6"/>
  <c r="P23" i="13"/>
  <c r="H36" i="15"/>
  <c r="H27" i="15"/>
  <c r="S5" i="13"/>
  <c r="S17" i="13"/>
  <c r="P13" i="13"/>
  <c r="P16" i="13" s="1"/>
  <c r="P34" i="12"/>
  <c r="P32" i="12"/>
  <c r="D47" i="6"/>
  <c r="C70" i="15"/>
  <c r="C76" i="15" s="1"/>
  <c r="D50" i="6" s="1"/>
  <c r="D12" i="5" s="1"/>
  <c r="O42" i="12"/>
  <c r="O36" i="12"/>
  <c r="C54" i="6" l="1"/>
  <c r="C60" i="6"/>
  <c r="P21" i="13"/>
  <c r="F65" i="6" s="1"/>
  <c r="E61" i="15"/>
  <c r="E62" i="15"/>
  <c r="E71" i="15" s="1"/>
  <c r="E77" i="15" s="1"/>
  <c r="F51" i="6" s="1"/>
  <c r="F11" i="5" s="1"/>
  <c r="F45" i="6"/>
  <c r="F46" i="6" s="1"/>
  <c r="O44" i="12"/>
  <c r="P40" i="12"/>
  <c r="E64" i="6" s="1"/>
  <c r="E63" i="6" s="1"/>
  <c r="E62" i="6" s="1"/>
  <c r="P35" i="12"/>
  <c r="S22" i="13"/>
  <c r="R31" i="12"/>
  <c r="R23" i="12"/>
  <c r="R18" i="12" s="1"/>
  <c r="R20" i="12"/>
  <c r="R21" i="12" s="1"/>
  <c r="R22" i="12" s="1"/>
  <c r="R33" i="12" s="1"/>
  <c r="I6" i="13"/>
  <c r="I12" i="13" s="1"/>
  <c r="H44" i="6"/>
  <c r="G58" i="15"/>
  <c r="C12" i="3"/>
  <c r="C11" i="3"/>
  <c r="O43" i="12"/>
  <c r="Q34" i="12"/>
  <c r="Q32" i="12"/>
  <c r="I17" i="5"/>
  <c r="D70" i="15"/>
  <c r="D76" i="15" s="1"/>
  <c r="E50" i="6" s="1"/>
  <c r="E12" i="5" s="1"/>
  <c r="E47" i="6"/>
  <c r="G20" i="12"/>
  <c r="G21" i="12" s="1"/>
  <c r="G22" i="12" s="1"/>
  <c r="G33" i="12" s="1"/>
  <c r="G25" i="6" s="1"/>
  <c r="G23" i="12"/>
  <c r="G18" i="12" s="1"/>
  <c r="G31" i="12"/>
  <c r="G23" i="6" s="1"/>
  <c r="G16" i="3" s="1"/>
  <c r="F34" i="12"/>
  <c r="F32" i="12"/>
  <c r="F59" i="15"/>
  <c r="F60" i="15" s="1"/>
  <c r="Q39" i="12"/>
  <c r="S6" i="13"/>
  <c r="S18" i="13" s="1"/>
  <c r="H53" i="15"/>
  <c r="I43" i="6"/>
  <c r="I9" i="5" s="1"/>
  <c r="D12" i="6"/>
  <c r="D9" i="3"/>
  <c r="D11" i="6"/>
  <c r="D53" i="6" s="1"/>
  <c r="D13" i="6"/>
  <c r="R12" i="13"/>
  <c r="H19" i="12"/>
  <c r="S19" i="12"/>
  <c r="H18" i="13"/>
  <c r="H38" i="6" s="1"/>
  <c r="H17" i="3" s="1"/>
  <c r="G10" i="5"/>
  <c r="E35" i="12"/>
  <c r="E27" i="6" s="1"/>
  <c r="E10" i="6" s="1"/>
  <c r="E24" i="6"/>
  <c r="Q41" i="12"/>
  <c r="P42" i="12"/>
  <c r="P36" i="12"/>
  <c r="H54" i="15"/>
  <c r="H40" i="15"/>
  <c r="F19" i="3"/>
  <c r="F15" i="6"/>
  <c r="F13" i="3" s="1"/>
  <c r="H13" i="13"/>
  <c r="H16" i="13" s="1"/>
  <c r="H36" i="6" s="1"/>
  <c r="Q23" i="13"/>
  <c r="E26" i="6"/>
  <c r="E14" i="6" s="1"/>
  <c r="E10" i="3" s="1"/>
  <c r="E36" i="12"/>
  <c r="Q13" i="13"/>
  <c r="Q16" i="13" s="1"/>
  <c r="Q21" i="13" s="1"/>
  <c r="G65" i="6" s="1"/>
  <c r="D54" i="6" l="1"/>
  <c r="D60" i="6"/>
  <c r="H56" i="15"/>
  <c r="S12" i="13"/>
  <c r="I13" i="13"/>
  <c r="I16" i="13" s="1"/>
  <c r="I36" i="6" s="1"/>
  <c r="P44" i="12"/>
  <c r="R13" i="13"/>
  <c r="R16" i="13" s="1"/>
  <c r="R21" i="13" s="1"/>
  <c r="H65" i="6" s="1"/>
  <c r="Q42" i="12"/>
  <c r="Q36" i="12"/>
  <c r="G59" i="15"/>
  <c r="G60" i="15" s="1"/>
  <c r="R41" i="12"/>
  <c r="P43" i="12"/>
  <c r="F61" i="15"/>
  <c r="G45" i="6"/>
  <c r="G46" i="6" s="1"/>
  <c r="F62" i="15"/>
  <c r="F71" i="15" s="1"/>
  <c r="F77" i="15" s="1"/>
  <c r="G51" i="6" s="1"/>
  <c r="G11" i="5" s="1"/>
  <c r="G34" i="12"/>
  <c r="G32" i="12"/>
  <c r="H10" i="5"/>
  <c r="R34" i="12"/>
  <c r="R32" i="12"/>
  <c r="H58" i="15"/>
  <c r="I44" i="6"/>
  <c r="E12" i="6"/>
  <c r="E9" i="3"/>
  <c r="E13" i="6"/>
  <c r="E11" i="6"/>
  <c r="E53" i="6" s="1"/>
  <c r="S20" i="12"/>
  <c r="S21" i="12" s="1"/>
  <c r="S22" i="12" s="1"/>
  <c r="S33" i="12" s="1"/>
  <c r="S23" i="12"/>
  <c r="S18" i="12" s="1"/>
  <c r="S31" i="12"/>
  <c r="F24" i="6"/>
  <c r="F35" i="12"/>
  <c r="F27" i="6" s="1"/>
  <c r="F10" i="6" s="1"/>
  <c r="G19" i="3"/>
  <c r="G15" i="6"/>
  <c r="G13" i="3" s="1"/>
  <c r="R39" i="12"/>
  <c r="H23" i="12"/>
  <c r="H18" i="12" s="1"/>
  <c r="H31" i="12"/>
  <c r="H23" i="6" s="1"/>
  <c r="H16" i="3" s="1"/>
  <c r="H20" i="12"/>
  <c r="H21" i="12" s="1"/>
  <c r="H22" i="12" s="1"/>
  <c r="H33" i="12" s="1"/>
  <c r="H25" i="6" s="1"/>
  <c r="D11" i="3"/>
  <c r="D12" i="3"/>
  <c r="S13" i="13"/>
  <c r="F26" i="6"/>
  <c r="F14" i="6" s="1"/>
  <c r="F10" i="3" s="1"/>
  <c r="F36" i="12"/>
  <c r="Q40" i="12"/>
  <c r="F64" i="6" s="1"/>
  <c r="F63" i="6" s="1"/>
  <c r="F62" i="6" s="1"/>
  <c r="C9" i="4" s="1"/>
  <c r="C11" i="4" s="1"/>
  <c r="C10" i="4" s="1"/>
  <c r="Q35" i="12"/>
  <c r="I18" i="13"/>
  <c r="I38" i="6" s="1"/>
  <c r="I17" i="3" s="1"/>
  <c r="T19" i="12"/>
  <c r="I19" i="12"/>
  <c r="R23" i="13"/>
  <c r="F47" i="6"/>
  <c r="E70" i="15"/>
  <c r="E76" i="15" s="1"/>
  <c r="F50" i="6" s="1"/>
  <c r="F12" i="5" s="1"/>
  <c r="E54" i="6" l="1"/>
  <c r="E60" i="6"/>
  <c r="S16" i="13"/>
  <c r="S21" i="13" s="1"/>
  <c r="I65" i="6" s="1"/>
  <c r="Q43" i="12"/>
  <c r="T31" i="12"/>
  <c r="T23" i="12"/>
  <c r="T18" i="12" s="1"/>
  <c r="T20" i="12"/>
  <c r="T21" i="12" s="1"/>
  <c r="T22" i="12" s="1"/>
  <c r="T33" i="12" s="1"/>
  <c r="H32" i="12"/>
  <c r="H34" i="12"/>
  <c r="F9" i="3"/>
  <c r="F13" i="6"/>
  <c r="F12" i="6"/>
  <c r="F11" i="6"/>
  <c r="F53" i="6" s="1"/>
  <c r="S41" i="12"/>
  <c r="R36" i="12"/>
  <c r="R42" i="12"/>
  <c r="G36" i="12"/>
  <c r="G26" i="6"/>
  <c r="G14" i="6" s="1"/>
  <c r="G10" i="3" s="1"/>
  <c r="Q44" i="12"/>
  <c r="I10" i="5"/>
  <c r="H19" i="3"/>
  <c r="H15" i="6"/>
  <c r="H13" i="3" s="1"/>
  <c r="S39" i="12"/>
  <c r="H59" i="15"/>
  <c r="H60" i="15" s="1"/>
  <c r="G61" i="15"/>
  <c r="G62" i="15"/>
  <c r="G71" i="15" s="1"/>
  <c r="G77" i="15" s="1"/>
  <c r="H51" i="6" s="1"/>
  <c r="H11" i="5" s="1"/>
  <c r="H45" i="6"/>
  <c r="H46" i="6" s="1"/>
  <c r="S23" i="13"/>
  <c r="I20" i="12"/>
  <c r="I21" i="12" s="1"/>
  <c r="I22" i="12" s="1"/>
  <c r="I33" i="12" s="1"/>
  <c r="I25" i="6" s="1"/>
  <c r="I23" i="12"/>
  <c r="I18" i="12" s="1"/>
  <c r="I31" i="12"/>
  <c r="I23" i="6" s="1"/>
  <c r="I16" i="3" s="1"/>
  <c r="S32" i="12"/>
  <c r="S34" i="12"/>
  <c r="E11" i="3"/>
  <c r="E12" i="3"/>
  <c r="R35" i="12"/>
  <c r="R40" i="12"/>
  <c r="G64" i="6" s="1"/>
  <c r="G63" i="6" s="1"/>
  <c r="G62" i="6" s="1"/>
  <c r="G24" i="6"/>
  <c r="G35" i="12"/>
  <c r="G27" i="6" s="1"/>
  <c r="G10" i="6" s="1"/>
  <c r="F70" i="15"/>
  <c r="F76" i="15" s="1"/>
  <c r="G50" i="6" s="1"/>
  <c r="G12" i="5" s="1"/>
  <c r="G47" i="6"/>
  <c r="F54" i="6" l="1"/>
  <c r="F60" i="6"/>
  <c r="R44" i="12"/>
  <c r="R43" i="12"/>
  <c r="I32" i="12"/>
  <c r="I34" i="12"/>
  <c r="H24" i="6"/>
  <c r="H35" i="12"/>
  <c r="H27" i="6" s="1"/>
  <c r="H10" i="6" s="1"/>
  <c r="I19" i="3"/>
  <c r="I15" i="6"/>
  <c r="I13" i="3" s="1"/>
  <c r="H47" i="6"/>
  <c r="G70" i="15"/>
  <c r="G76" i="15" s="1"/>
  <c r="H50" i="6" s="1"/>
  <c r="H12" i="5" s="1"/>
  <c r="T41" i="12"/>
  <c r="S36" i="12"/>
  <c r="S42" i="12"/>
  <c r="S40" i="12"/>
  <c r="H64" i="6" s="1"/>
  <c r="H63" i="6" s="1"/>
  <c r="H62" i="6" s="1"/>
  <c r="S35" i="12"/>
  <c r="H61" i="15"/>
  <c r="H62" i="15"/>
  <c r="H71" i="15" s="1"/>
  <c r="H77" i="15" s="1"/>
  <c r="I51" i="6" s="1"/>
  <c r="I45" i="6"/>
  <c r="I46" i="6" s="1"/>
  <c r="F12" i="3"/>
  <c r="F11" i="3"/>
  <c r="T34" i="12"/>
  <c r="T32" i="12"/>
  <c r="G13" i="6"/>
  <c r="G9" i="3"/>
  <c r="G11" i="6"/>
  <c r="G53" i="6" s="1"/>
  <c r="G12" i="6"/>
  <c r="H36" i="12"/>
  <c r="H26" i="6"/>
  <c r="H14" i="6" s="1"/>
  <c r="H10" i="3" s="1"/>
  <c r="T39" i="12"/>
  <c r="G54" i="6" l="1"/>
  <c r="G60" i="6"/>
  <c r="S43" i="12"/>
  <c r="I11" i="5"/>
  <c r="D10" i="4"/>
  <c r="H11" i="6"/>
  <c r="H53" i="6" s="1"/>
  <c r="H12" i="6"/>
  <c r="H13" i="6"/>
  <c r="H9" i="3"/>
  <c r="T36" i="12"/>
  <c r="T42" i="12"/>
  <c r="G12" i="3"/>
  <c r="G11" i="3"/>
  <c r="H70" i="15"/>
  <c r="H76" i="15" s="1"/>
  <c r="I50" i="6" s="1"/>
  <c r="I47" i="6"/>
  <c r="S44" i="12"/>
  <c r="I26" i="6"/>
  <c r="I14" i="6" s="1"/>
  <c r="I10" i="3" s="1"/>
  <c r="I36" i="12"/>
  <c r="T35" i="12"/>
  <c r="T40" i="12"/>
  <c r="I64" i="6" s="1"/>
  <c r="I63" i="6" s="1"/>
  <c r="I62" i="6" s="1"/>
  <c r="I24" i="6"/>
  <c r="I35" i="12"/>
  <c r="I27" i="6" s="1"/>
  <c r="I10" i="6" s="1"/>
  <c r="H54" i="6" l="1"/>
  <c r="H60" i="6"/>
  <c r="I12" i="5"/>
  <c r="D9" i="4"/>
  <c r="D11" i="4" s="1"/>
  <c r="H11" i="3"/>
  <c r="H12" i="3"/>
  <c r="T43" i="12"/>
  <c r="I11" i="6"/>
  <c r="I53" i="6" s="1"/>
  <c r="I12" i="6"/>
  <c r="I13" i="6"/>
  <c r="I9" i="3"/>
  <c r="T44" i="12"/>
  <c r="I54" i="6" l="1"/>
  <c r="I60" i="6"/>
  <c r="I11" i="3"/>
  <c r="I12" i="3"/>
</calcChain>
</file>

<file path=xl/comments1.xml><?xml version="1.0" encoding="utf-8"?>
<comments xmlns="http://schemas.openxmlformats.org/spreadsheetml/2006/main">
  <authors>
    <author>Mouli Venkatesan</author>
  </authors>
  <commentList>
    <comment ref="E97" authorId="0" shapeId="0">
      <text>
        <r>
          <rPr>
            <b/>
            <sz val="9"/>
            <color indexed="81"/>
            <rFont val="Tahoma"/>
            <family val="2"/>
          </rPr>
          <t>Mouli Venkatesan:</t>
        </r>
        <r>
          <rPr>
            <sz val="9"/>
            <color indexed="81"/>
            <rFont val="Tahoma"/>
            <family val="2"/>
          </rPr>
          <t xml:space="preserve">
how many truck loads shipped out from this transfer station.
</t>
        </r>
      </text>
    </comment>
  </commentList>
</comments>
</file>

<file path=xl/sharedStrings.xml><?xml version="1.0" encoding="utf-8"?>
<sst xmlns="http://schemas.openxmlformats.org/spreadsheetml/2006/main" count="1168" uniqueCount="632">
  <si>
    <t>INPUTS</t>
  </si>
  <si>
    <t>Participation</t>
  </si>
  <si>
    <t>Urban</t>
  </si>
  <si>
    <t>Urban / Suburban</t>
  </si>
  <si>
    <t>Drop-Off</t>
  </si>
  <si>
    <t>Dual Stream Carts Weekly</t>
  </si>
  <si>
    <t>SS Carts Weekly</t>
  </si>
  <si>
    <t>Dual Stream Bins Weekly</t>
  </si>
  <si>
    <t>Number of HHs</t>
  </si>
  <si>
    <t>Source</t>
  </si>
  <si>
    <t>Input</t>
  </si>
  <si>
    <t>Calc</t>
  </si>
  <si>
    <t>SS Carts EOW</t>
  </si>
  <si>
    <t>Collections / Year</t>
  </si>
  <si>
    <t>OUTPUTS</t>
  </si>
  <si>
    <t>Number of Routes</t>
  </si>
  <si>
    <t>Tons Recycling / Year</t>
  </si>
  <si>
    <t>Hard #</t>
  </si>
  <si>
    <t>O&amp;M</t>
  </si>
  <si>
    <t>State Drop Down</t>
  </si>
  <si>
    <t>Mississippi</t>
  </si>
  <si>
    <t>Alabama</t>
  </si>
  <si>
    <t>Georgia</t>
  </si>
  <si>
    <t>South Carolina</t>
  </si>
  <si>
    <t>Step</t>
  </si>
  <si>
    <t>Florida</t>
  </si>
  <si>
    <t>Kentucky</t>
  </si>
  <si>
    <t>North Carolina</t>
  </si>
  <si>
    <t>Tenessee</t>
  </si>
  <si>
    <t>State Look Up Table</t>
  </si>
  <si>
    <t>Tip Fee LF</t>
  </si>
  <si>
    <t>MRF Revenue</t>
  </si>
  <si>
    <t>Density Drop Down</t>
  </si>
  <si>
    <t>Participation Look up</t>
  </si>
  <si>
    <t>Choice</t>
  </si>
  <si>
    <t>Rural / Suburban</t>
  </si>
  <si>
    <t xml:space="preserve">Rural  </t>
  </si>
  <si>
    <t>Density (HHs/Route) Look up</t>
  </si>
  <si>
    <t xml:space="preserve">Semi Auto </t>
  </si>
  <si>
    <t>Fully Auto</t>
  </si>
  <si>
    <t>Manual Bins</t>
  </si>
  <si>
    <t>Lbs / HH/ Collection</t>
  </si>
  <si>
    <t>DS Bins Weekly</t>
  </si>
  <si>
    <t>DS Carts Weekly</t>
  </si>
  <si>
    <t>Pounds per HH</t>
  </si>
  <si>
    <t>Glass in Single Stream</t>
  </si>
  <si>
    <t>Yes (Default)</t>
  </si>
  <si>
    <t xml:space="preserve">No </t>
  </si>
  <si>
    <t>Suburban (Default)</t>
  </si>
  <si>
    <t>Tons Trash / Year</t>
  </si>
  <si>
    <t>Recycling Lbs per HH / Collection</t>
  </si>
  <si>
    <t>Lbs Trash / Person / Year</t>
  </si>
  <si>
    <t>Avg HH Size</t>
  </si>
  <si>
    <t>Trash lbs / Person / Year</t>
  </si>
  <si>
    <t>Lookup</t>
  </si>
  <si>
    <t>Glass Look Up</t>
  </si>
  <si>
    <t>Yes or No</t>
  </si>
  <si>
    <t>Glass Discount</t>
  </si>
  <si>
    <t>Dual Stream Bins EOW</t>
  </si>
  <si>
    <t>Dual Stream Carts EOW</t>
  </si>
  <si>
    <t>TrueUp</t>
  </si>
  <si>
    <t>Diversion rate</t>
  </si>
  <si>
    <t>TONNAGE IMPACTS</t>
  </si>
  <si>
    <t>Opt in Or Out</t>
  </si>
  <si>
    <t>Yes or No (for Cart Costs)</t>
  </si>
  <si>
    <t>Assumption Tables</t>
  </si>
  <si>
    <t>Number</t>
  </si>
  <si>
    <t>Title</t>
  </si>
  <si>
    <t>RRS</t>
  </si>
  <si>
    <t>Details</t>
  </si>
  <si>
    <t>Denver</t>
  </si>
  <si>
    <t>This is what Rehrig quoted City of Denver to assemble / deliver, increased by 33% for smaller communities / contracts</t>
  </si>
  <si>
    <t>Sheet</t>
  </si>
  <si>
    <t>Container Costs</t>
  </si>
  <si>
    <t>Cart Purchase Cost</t>
  </si>
  <si>
    <t>Delivery Cost / Cart</t>
  </si>
  <si>
    <t>Estimate of the % of carts lost or stolen per year</t>
  </si>
  <si>
    <t>Cart Maintenance / HH / year</t>
  </si>
  <si>
    <t>CONTAINER  / EDUCATION COSTS</t>
  </si>
  <si>
    <t>Outreach / HH / Year</t>
  </si>
  <si>
    <t>Juri</t>
  </si>
  <si>
    <t>Assume 1 to 2 mailers per year</t>
  </si>
  <si>
    <t>DropDowns_LookUps</t>
  </si>
  <si>
    <t>Discounts the Lbs per HH by % to account for the reomval of glass from the stream</t>
  </si>
  <si>
    <t>ASSUMPTION TABLE</t>
  </si>
  <si>
    <t>Bin Purchase Cost</t>
  </si>
  <si>
    <t>Delivery Cost / Bin</t>
  </si>
  <si>
    <t>Assume delivery cost much cheaper for bins</t>
  </si>
  <si>
    <t>Best guess</t>
  </si>
  <si>
    <t>Cost per Container</t>
  </si>
  <si>
    <t>Delivery Cost</t>
  </si>
  <si>
    <t>Maintenance Cost</t>
  </si>
  <si>
    <t>Bin Replacement</t>
  </si>
  <si>
    <t>Estimate of the % of binslost or stolen per year</t>
  </si>
  <si>
    <t>Bin Maintenance / HH / year</t>
  </si>
  <si>
    <t>Assume replacement, not maintance</t>
  </si>
  <si>
    <t>Inventory / Back up Stock</t>
  </si>
  <si>
    <t>Inventory / Back up</t>
  </si>
  <si>
    <t>% inventory needed for back up, new sign ups, replacements, etc.</t>
  </si>
  <si>
    <t>Transportation Costs</t>
  </si>
  <si>
    <t>RT Miles to processing</t>
  </si>
  <si>
    <t>Based on Matt Todd/ David Stead estimates</t>
  </si>
  <si>
    <t>EMAIL DENVER</t>
  </si>
  <si>
    <t>Carts are cheaper now b/c plastic is low</t>
  </si>
  <si>
    <t>Estimated participation</t>
  </si>
  <si>
    <t>Medium high participation</t>
  </si>
  <si>
    <t>Medium low</t>
  </si>
  <si>
    <t>Low</t>
  </si>
  <si>
    <t xml:space="preserve">High participation </t>
  </si>
  <si>
    <t>Education Costs</t>
  </si>
  <si>
    <t>Dual stream multiplier</t>
  </si>
  <si>
    <t>Hard number</t>
  </si>
  <si>
    <t>Assume 7 year payback, 12 payments per year, use same payback for carts and trucks</t>
  </si>
  <si>
    <t>Interest rate</t>
  </si>
  <si>
    <t>Initial Capital Cost</t>
  </si>
  <si>
    <t>Payback Period (Years)</t>
  </si>
  <si>
    <t>Calc (includes interest)</t>
  </si>
  <si>
    <t>Cart Replacement SS</t>
  </si>
  <si>
    <t>Cart Replacement DS</t>
  </si>
  <si>
    <t xml:space="preserve">Anunal Replacement Cost </t>
  </si>
  <si>
    <t>Annual Loan Payment</t>
  </si>
  <si>
    <t>Total Cart Cost</t>
  </si>
  <si>
    <t>Total Cost</t>
  </si>
  <si>
    <t>Year One Cost (delivery / education)</t>
  </si>
  <si>
    <t>On-going Cost (Replace and Repair)</t>
  </si>
  <si>
    <t>Total Capital</t>
  </si>
  <si>
    <t>TonnageSheet</t>
  </si>
  <si>
    <t>Number of Trucks</t>
  </si>
  <si>
    <t>Number of Route Days</t>
  </si>
  <si>
    <t>Collection Costs</t>
  </si>
  <si>
    <t>Point at which you need to buy another truck</t>
  </si>
  <si>
    <t xml:space="preserve">If there number of routes is greater than X.39 (i.e. you need 2.4 routes, or 2.5 routes to service the HHs) it rounds up to 3 </t>
  </si>
  <si>
    <t>Number of Trucks for Routes</t>
  </si>
  <si>
    <t>Number of Back up Trucks</t>
  </si>
  <si>
    <t>Point at which back up truck needed</t>
  </si>
  <si>
    <t xml:space="preserve">For every X number of trucks, one back up is needed </t>
  </si>
  <si>
    <t>Calc / Assumption</t>
  </si>
  <si>
    <t>Total Number of Trucks</t>
  </si>
  <si>
    <t>Assumption</t>
  </si>
  <si>
    <t>Cost per Truck - Capital</t>
  </si>
  <si>
    <t>Annual loan payment</t>
  </si>
  <si>
    <t>Route Density (stops)</t>
  </si>
  <si>
    <t>Number of stops / week</t>
  </si>
  <si>
    <t>DS Bins EOW Alternate</t>
  </si>
  <si>
    <t>DS Carts EOW Alternate</t>
  </si>
  <si>
    <t>Dual Stream Bins EOW Alternating Collection</t>
  </si>
  <si>
    <t>Dual Stream Bins Weekly Collection</t>
  </si>
  <si>
    <t>Dual Stream Carts EOW Alternating Collection</t>
  </si>
  <si>
    <t>SS Carts EOW Alternating Collection</t>
  </si>
  <si>
    <t>SS Carts Weekly Collection</t>
  </si>
  <si>
    <t>Split Body Manual Truck</t>
  </si>
  <si>
    <t>Fully auto side load</t>
  </si>
  <si>
    <t>Truck Fees (license / insurance/maintenance)</t>
  </si>
  <si>
    <t>Cost for rear load split body manual truck- all bin collections</t>
  </si>
  <si>
    <t>Total initial capital Trucks</t>
  </si>
  <si>
    <t>Total Capital including interest</t>
  </si>
  <si>
    <t xml:space="preserve">Truck fees / insurance </t>
  </si>
  <si>
    <t>Cost per truck from D Stead Model</t>
  </si>
  <si>
    <t>Maintenance / Fuel / Fleet</t>
  </si>
  <si>
    <t>Cost per truck from D Stead Model (this is close to what Denver used)</t>
  </si>
  <si>
    <t>Number of Staff per truck</t>
  </si>
  <si>
    <t>Hard Number</t>
  </si>
  <si>
    <t>Number of Supervisors</t>
  </si>
  <si>
    <t>Annual rate Equipment Operator</t>
  </si>
  <si>
    <t>Staff Costs</t>
  </si>
  <si>
    <t>Equipment Operator Annual fully loaded</t>
  </si>
  <si>
    <t>Supervisor Fully Loaded</t>
  </si>
  <si>
    <t>David Stead, this is close to what Denver uses ($60K)</t>
  </si>
  <si>
    <t>Annual rate Supervisor</t>
  </si>
  <si>
    <t>STAFF COSTS</t>
  </si>
  <si>
    <t>Annual Rate Cart Tech</t>
  </si>
  <si>
    <t>Cart Maintenance Tech</t>
  </si>
  <si>
    <t>Best guess - only inlcude a cart maint. Tech for larger communities / more carts</t>
  </si>
  <si>
    <t>Cost of pick-up Truck</t>
  </si>
  <si>
    <t>Pick up Maint/ Fuel / Fleet</t>
  </si>
  <si>
    <t>AAA</t>
  </si>
  <si>
    <t>Recent survey - online data</t>
  </si>
  <si>
    <t>Contingency on O&amp;M</t>
  </si>
  <si>
    <t>Added in to collection costs and Staff costs</t>
  </si>
  <si>
    <t>Contingency (O&amp;M, Truck Fees)</t>
  </si>
  <si>
    <t>TRUCK COSTS</t>
  </si>
  <si>
    <t>Total Staff Cost</t>
  </si>
  <si>
    <t>Contingency on Operations</t>
  </si>
  <si>
    <t>Number of Equipment Operators / Maint. Techs</t>
  </si>
  <si>
    <t>Total Labor Cost (Annual)</t>
  </si>
  <si>
    <t>Staffing Costs</t>
  </si>
  <si>
    <t>Pickup Truck Operating Costs</t>
  </si>
  <si>
    <t>Pick up Total Capital including interest</t>
  </si>
  <si>
    <t>Pickup Annual loan payment</t>
  </si>
  <si>
    <t>Total initial capital Pickup Trucks</t>
  </si>
  <si>
    <t>Number of Pickup Trucks - Supervisor</t>
  </si>
  <si>
    <t>Do you know tip fee</t>
  </si>
  <si>
    <t>Yes</t>
  </si>
  <si>
    <t>MRF revenue</t>
  </si>
  <si>
    <t>No (model will use default)</t>
  </si>
  <si>
    <t>Landfill Tip fee</t>
  </si>
  <si>
    <t>MRF Rev DS</t>
  </si>
  <si>
    <t>MRF Rev SS</t>
  </si>
  <si>
    <t>Glass Impact</t>
  </si>
  <si>
    <t xml:space="preserve">Input </t>
  </si>
  <si>
    <t>Change in MRF Rev</t>
  </si>
  <si>
    <t>&lt;-- These numbers on in the assumption table</t>
  </si>
  <si>
    <t>Increase in MRF Revenue without glass</t>
  </si>
  <si>
    <t>Tons of Recycle</t>
  </si>
  <si>
    <t>Tonnage Impacts</t>
  </si>
  <si>
    <t>Number of Miles Driven Recycle</t>
  </si>
  <si>
    <t>Assume these are miles added on at end of route day to processor / transfer operation</t>
  </si>
  <si>
    <t>Average Number Miles to Disposal (RT)</t>
  </si>
  <si>
    <t>Fuel Cost</t>
  </si>
  <si>
    <t>US EIA</t>
  </si>
  <si>
    <t>Miles per Gallon</t>
  </si>
  <si>
    <t>This is the average</t>
  </si>
  <si>
    <t>Cost of Transport (Fuel)</t>
  </si>
  <si>
    <t>Trash Savings</t>
  </si>
  <si>
    <t>CONTAINERS</t>
  </si>
  <si>
    <t>STAFFING</t>
  </si>
  <si>
    <t>Annual Cost (Total)</t>
  </si>
  <si>
    <t>Cost per Ton Recycled</t>
  </si>
  <si>
    <t>IMPACTS</t>
  </si>
  <si>
    <t>VEHICLES</t>
  </si>
  <si>
    <t>Medium participation (Default)</t>
  </si>
  <si>
    <t>Lbs / HH/ Year</t>
  </si>
  <si>
    <t>Reduction Factor</t>
  </si>
  <si>
    <t>Green Power Inc  2014 low estimate</t>
  </si>
  <si>
    <t>Green Power Inc 2014 high estimate</t>
  </si>
  <si>
    <t>Green Power Inc 2014 average estimate</t>
  </si>
  <si>
    <t>BioCycle 2008</t>
  </si>
  <si>
    <t>AVERAGE all sources</t>
  </si>
  <si>
    <t>MAX all sources</t>
  </si>
  <si>
    <t>MIN all sources</t>
  </si>
  <si>
    <t>Choice--&gt;</t>
  </si>
  <si>
    <t>Landfill Tip Fee Choices</t>
  </si>
  <si>
    <t>&lt;--- MS is not the AVG., avg tip fee is based on interviews with MI DEQ</t>
  </si>
  <si>
    <t>8. Do you know your landfill tip fee per ton?</t>
  </si>
  <si>
    <t>9. Do you know your recycling processor gate fee or revenue per ton?</t>
  </si>
  <si>
    <t>1. Enter community name.</t>
  </si>
  <si>
    <t>High (Containers are always full, only choose if you have PAYT, embedded recycling fees, or other similar advanced programs)</t>
  </si>
  <si>
    <t>Medium high (Containers more than half full, Communities with strong recycling programs)</t>
  </si>
  <si>
    <t>Medium low (Containers about half full, Default setting)</t>
  </si>
  <si>
    <t>Low (Containers are less than half full, Choose if residents are unfamiliar with recycling programs)</t>
  </si>
  <si>
    <t>ASSUMPTIONS</t>
  </si>
  <si>
    <t xml:space="preserve">1 ton [short, US] = </t>
  </si>
  <si>
    <t xml:space="preserve"> ton [metric]</t>
  </si>
  <si>
    <t xml:space="preserve">1 ton [metric] = </t>
  </si>
  <si>
    <t xml:space="preserve"> ton [short, US]</t>
  </si>
  <si>
    <t>pounds (lb)</t>
  </si>
  <si>
    <t xml:space="preserve">1 cubic yard = </t>
  </si>
  <si>
    <t xml:space="preserve"> cubic meter</t>
  </si>
  <si>
    <t xml:space="preserve">1 cubic meter = </t>
  </si>
  <si>
    <t xml:space="preserve"> cubic yard</t>
  </si>
  <si>
    <t>1 square foot =</t>
  </si>
  <si>
    <t>square meters</t>
  </si>
  <si>
    <t>1 pound =</t>
  </si>
  <si>
    <t>Kg</t>
  </si>
  <si>
    <t>1 kilogram =</t>
  </si>
  <si>
    <t>lbs</t>
  </si>
  <si>
    <t>1 mile =</t>
  </si>
  <si>
    <t>km</t>
  </si>
  <si>
    <t>Run  hours per shift=</t>
  </si>
  <si>
    <t>hr</t>
  </si>
  <si>
    <t>Wages</t>
  </si>
  <si>
    <t>Hourly</t>
  </si>
  <si>
    <t>Annual</t>
  </si>
  <si>
    <t>Fringes</t>
  </si>
  <si>
    <t xml:space="preserve">
Total</t>
  </si>
  <si>
    <t>Sorter</t>
  </si>
  <si>
    <t>Semi Tractor Driver</t>
  </si>
  <si>
    <t>Equipment Operator</t>
  </si>
  <si>
    <t>Maintenance</t>
  </si>
  <si>
    <t>Scale &amp; Clerical</t>
  </si>
  <si>
    <t>Management</t>
  </si>
  <si>
    <t>Wage Inflation Rate</t>
  </si>
  <si>
    <t>Benefits/Fringes</t>
  </si>
  <si>
    <t>1st Shift capacity</t>
  </si>
  <si>
    <t>2nd Shift capacity</t>
  </si>
  <si>
    <t>Capacity Utilization</t>
  </si>
  <si>
    <t>Capital Amortisation</t>
  </si>
  <si>
    <t>Capital Inflation Rate</t>
  </si>
  <si>
    <t>Land Inflation Rate</t>
  </si>
  <si>
    <t>Operating Inflation Rate</t>
  </si>
  <si>
    <t>Interest Rate</t>
  </si>
  <si>
    <t>Tax Rate</t>
  </si>
  <si>
    <t>Site and Land Cost per acre</t>
  </si>
  <si>
    <t>Land Cost</t>
  </si>
  <si>
    <t>Building Cost</t>
  </si>
  <si>
    <t>Separation &amp; Baling Equipment</t>
  </si>
  <si>
    <t>Equipment</t>
  </si>
  <si>
    <t>Rolling Stock</t>
  </si>
  <si>
    <t>Years till 2025</t>
  </si>
  <si>
    <t>Building Costs</t>
  </si>
  <si>
    <t>Building &amp; Site Maintenance Costs</t>
  </si>
  <si>
    <t>per Sq ft</t>
  </si>
  <si>
    <t>Building utilities</t>
  </si>
  <si>
    <t>Processing Costs</t>
  </si>
  <si>
    <t>Maintenance Costs</t>
  </si>
  <si>
    <t>per US ton</t>
  </si>
  <si>
    <t>Process Utilities Costs</t>
  </si>
  <si>
    <t>Transfer Loading Fuel Costs</t>
  </si>
  <si>
    <t>Transfer Equipment Maint Cost</t>
  </si>
  <si>
    <t>Safety_Office_Phone_Supplies</t>
  </si>
  <si>
    <t>Residue Disposal Cost</t>
  </si>
  <si>
    <t>Manangement Allowance</t>
  </si>
  <si>
    <t>Haul Cost Transfer Trailer</t>
  </si>
  <si>
    <t>per hour</t>
  </si>
  <si>
    <t xml:space="preserve">Haul Cost Rolloff </t>
  </si>
  <si>
    <t>Building insurance cost per $100,000</t>
  </si>
  <si>
    <t>Assumption for trucks</t>
  </si>
  <si>
    <t>Overnight Costs</t>
  </si>
  <si>
    <t>One-Way Trip Long Haul to MRF</t>
  </si>
  <si>
    <t>miles</t>
  </si>
  <si>
    <t>LH Cost per Ton per Mile</t>
  </si>
  <si>
    <t>Long Haul</t>
  </si>
  <si>
    <t>Transfer Trailer</t>
  </si>
  <si>
    <t>Compaction Ratio</t>
  </si>
  <si>
    <t xml:space="preserve"> Assume compaction for all transfer - Check with RAA on density in curbside</t>
  </si>
  <si>
    <t>CY</t>
  </si>
  <si>
    <t>m3</t>
  </si>
  <si>
    <t>Density #/CY uncompacted</t>
  </si>
  <si>
    <t>kg/m3</t>
  </si>
  <si>
    <t>Load Limit</t>
  </si>
  <si>
    <t>US tons</t>
  </si>
  <si>
    <t>Assume full truck weights under any condition -  40,000# gross limit</t>
  </si>
  <si>
    <t>Short Haul</t>
  </si>
  <si>
    <t>Transfer Rolloff w/pup</t>
  </si>
  <si>
    <t xml:space="preserve">Assume 2@ 53 CY </t>
  </si>
  <si>
    <t>Assume full truck weights under any condition</t>
  </si>
  <si>
    <t>Forklift</t>
  </si>
  <si>
    <t>Skidsteer_w_Grapple</t>
  </si>
  <si>
    <t>Small_Loader</t>
  </si>
  <si>
    <t>Large_Loader</t>
  </si>
  <si>
    <t>Yard_Mule</t>
  </si>
  <si>
    <t>Workdays per Year</t>
  </si>
  <si>
    <t>TRANSFER STATION COST ASSUMPTIONS</t>
  </si>
  <si>
    <t>CATEGORIES</t>
  </si>
  <si>
    <t>Assumptions</t>
  </si>
  <si>
    <t>Sensitivity</t>
  </si>
  <si>
    <t>Small Transfer</t>
  </si>
  <si>
    <t>Medium Transfer</t>
  </si>
  <si>
    <t>Large Transfer</t>
  </si>
  <si>
    <t>Large Transfer
Alternative</t>
  </si>
  <si>
    <t>Rated Tonnes per hour</t>
  </si>
  <si>
    <t>Fiber Tonnage</t>
  </si>
  <si>
    <t>Container Tonnage</t>
  </si>
  <si>
    <t>Other Tonnage</t>
  </si>
  <si>
    <t>Residue</t>
  </si>
  <si>
    <t>Total Tonnage (US short Tons)</t>
  </si>
  <si>
    <t>Truckloads per year</t>
  </si>
  <si>
    <t>Marketed Tons/Hr/Sorter</t>
  </si>
  <si>
    <t>Capital</t>
  </si>
  <si>
    <t>Compactors</t>
  </si>
  <si>
    <t>Scale</t>
  </si>
  <si>
    <t>Main Baler(s)</t>
  </si>
  <si>
    <t>Sorting Equipment, Bins, Bunkers, Conveyors</t>
  </si>
  <si>
    <t xml:space="preserve"> Equipment Total</t>
  </si>
  <si>
    <t>Loaders &amp; Forklift &amp; Yard Tractor</t>
  </si>
  <si>
    <t>Trailers and Rolloffs</t>
  </si>
  <si>
    <t>Building Capital</t>
  </si>
  <si>
    <t>Site Size (acres)</t>
  </si>
  <si>
    <t>Assumed Size  (Sq. feet)</t>
  </si>
  <si>
    <t>Cost per  sq feet</t>
  </si>
  <si>
    <t>Site and Land Capital  Cost</t>
  </si>
  <si>
    <t>Annual Capital Costs</t>
  </si>
  <si>
    <t>Site Cost</t>
  </si>
  <si>
    <t>Total Annual Capital Cost</t>
  </si>
  <si>
    <t>Annual Operating Cost</t>
  </si>
  <si>
    <t>Number of Employees</t>
  </si>
  <si>
    <t>Sorter Productivity (T/hr/sorter)</t>
  </si>
  <si>
    <t>Driver</t>
  </si>
  <si>
    <t>Scale/Clerical</t>
  </si>
  <si>
    <t>Management, Clerical &amp; Scale</t>
  </si>
  <si>
    <t>Annual Labor Cost (includes Fringe Benefits)</t>
  </si>
  <si>
    <t>Residual Disposal Costs</t>
  </si>
  <si>
    <t>Annual Building O&amp;M Costs</t>
  </si>
  <si>
    <t>Building Insurance Costs</t>
  </si>
  <si>
    <t>Taxes</t>
  </si>
  <si>
    <t>Annual Processing O&amp;M Costs</t>
  </si>
  <si>
    <t>Total Capital and Operating Cost</t>
  </si>
  <si>
    <t>Management  Allowance 
(20% of Operating Total)</t>
  </si>
  <si>
    <t>Total Facility Costs</t>
  </si>
  <si>
    <t>Total Facility Cost per Ton</t>
  </si>
  <si>
    <t>MRF COST ASSUMPTIONS</t>
  </si>
  <si>
    <t>Revenue Share</t>
  </si>
  <si>
    <t>MRF #</t>
  </si>
  <si>
    <t>Tons/Year</t>
  </si>
  <si>
    <t>Cost/Ton</t>
  </si>
  <si>
    <t>Revenue</t>
  </si>
  <si>
    <t>Net Revenue</t>
  </si>
  <si>
    <t>DS Small 
MRF</t>
  </si>
  <si>
    <t>DS Small MRF 2-Shift</t>
  </si>
  <si>
    <t>DS Medium MRF</t>
  </si>
  <si>
    <t>DS Medium MRF 2-Shift</t>
  </si>
  <si>
    <t>SS Small MRF</t>
  </si>
  <si>
    <t>SS Small MRF 2-Shift</t>
  </si>
  <si>
    <t xml:space="preserve">SS Intermed 
MRF </t>
  </si>
  <si>
    <t>SS Intermed MRF 2-Shift</t>
  </si>
  <si>
    <t>SS Medium MRF</t>
  </si>
  <si>
    <t>SS Medium MRF 2-Shift</t>
  </si>
  <si>
    <t>SS Large MRF</t>
  </si>
  <si>
    <t>SS Large MRF
2-Shift</t>
  </si>
  <si>
    <t>Avg Small DS MRF</t>
  </si>
  <si>
    <t>Avg Medium DS MRF</t>
  </si>
  <si>
    <t>Avg Small SS MRF</t>
  </si>
  <si>
    <t>Avg Intermediate SS MRF</t>
  </si>
  <si>
    <t>Avg Medium SS MRF</t>
  </si>
  <si>
    <t>Avg Large SS MRF</t>
  </si>
  <si>
    <t>AVERAGE COMMODITY REVENUE</t>
  </si>
  <si>
    <t>Total Tonnage (US Tons)</t>
  </si>
  <si>
    <t>Trucks per Day</t>
  </si>
  <si>
    <t>Total Capital Cost</t>
  </si>
  <si>
    <t>Total Annual Facility Costs</t>
  </si>
  <si>
    <t>Transfer Miles</t>
  </si>
  <si>
    <t>Cost per Ton per Mile</t>
  </si>
  <si>
    <t>Transfer Trucking Cost</t>
  </si>
  <si>
    <t>Transfer Cost per Ton</t>
  </si>
  <si>
    <t>Thrid Party MRF Tip Fee (including Revenue Share)</t>
  </si>
  <si>
    <t>MRF Cost per Ton - Municipal Owned</t>
  </si>
  <si>
    <t>MRF Revenue per Ton (ACR)</t>
  </si>
  <si>
    <t>A value of 75 miles will be used as the default.</t>
  </si>
  <si>
    <t>MRF Material Revenue</t>
  </si>
  <si>
    <t>ACR</t>
  </si>
  <si>
    <t>Average Commodity Revenue</t>
  </si>
  <si>
    <t>Total Transfer Cost per Ton</t>
  </si>
  <si>
    <t>Total Cost per Ton including MRF Tip Fee</t>
  </si>
  <si>
    <t>Total Cost per HH including MRF Tip Fee</t>
  </si>
  <si>
    <t>Total Facility Cost per HH</t>
  </si>
  <si>
    <t>Transfer Cost per HH</t>
  </si>
  <si>
    <t>Total Transfer Cost per HH</t>
  </si>
  <si>
    <t>Thrid Party MRF Cost</t>
  </si>
  <si>
    <t>NET Cost per ton</t>
  </si>
  <si>
    <t>Net Cost per HH</t>
  </si>
  <si>
    <t>TOTAL COLLECTION COST</t>
  </si>
  <si>
    <t xml:space="preserve">Total Cost per Ton </t>
  </si>
  <si>
    <t>Annual Cost (Capital + Operating)</t>
  </si>
  <si>
    <t>HH within 15 minutes</t>
  </si>
  <si>
    <t>Drop Off (HH/Drop Off)</t>
  </si>
  <si>
    <t>Drop Off</t>
  </si>
  <si>
    <t>hhld</t>
  </si>
  <si>
    <t>Weekly Roloff Lift</t>
  </si>
  <si>
    <t>CY/Week</t>
  </si>
  <si>
    <t>Tons/Week</t>
  </si>
  <si>
    <t>Tons/Yr</t>
  </si>
  <si>
    <t>Tons/hhld</t>
  </si>
  <si>
    <t>Container Lifts per Week</t>
  </si>
  <si>
    <t>Lb/hh</t>
  </si>
  <si>
    <t>Containers are cheaper now b/c metal is low</t>
  </si>
  <si>
    <t>Drop Off Density</t>
  </si>
  <si>
    <t>Transfer Capital</t>
  </si>
  <si>
    <t>Drop Off Site Capital</t>
  </si>
  <si>
    <t>Site Development Costs</t>
  </si>
  <si>
    <t>Building and Site Developemnt Cost</t>
  </si>
  <si>
    <t>Drop OFF Site Requirement</t>
  </si>
  <si>
    <t>Based on Data from regional Drop Off Systems</t>
  </si>
  <si>
    <t>Number of Hh per Drop Off site</t>
  </si>
  <si>
    <t>Number of Drop Off Sites</t>
  </si>
  <si>
    <t>Annual Capital Cost</t>
  </si>
  <si>
    <t>Roll Off Costs</t>
  </si>
  <si>
    <t>Number of HH (Dropoff # of Rolloffs)</t>
  </si>
  <si>
    <t>Lbs/Rolloff</t>
  </si>
  <si>
    <t>Drop Off Table</t>
  </si>
  <si>
    <t>Container Lifts per Day</t>
  </si>
  <si>
    <t>Container Lifts per Truck per Day</t>
  </si>
  <si>
    <t>6. Will glass be included in single stream recycling?</t>
  </si>
  <si>
    <t>ISWM Output for:</t>
  </si>
  <si>
    <t>2. Choose your state from this drop down list.</t>
  </si>
  <si>
    <t>Dual Stream, Bins, Every Other Week Collection</t>
  </si>
  <si>
    <t>Dual Stream, Bins, Weekly Collection</t>
  </si>
  <si>
    <t>Dual Stream, Carts, Every Other Week Collection</t>
  </si>
  <si>
    <t>Dual Stream, Carts, Weekly Collection</t>
  </si>
  <si>
    <t>Single Stream, Carts, Weekly Collection</t>
  </si>
  <si>
    <t>Tons of Recycling per Year</t>
  </si>
  <si>
    <t>Tons of Recycling per Week</t>
  </si>
  <si>
    <t>Pounds per Household per Year</t>
  </si>
  <si>
    <t>Total Operations &amp; Maintenance Cost</t>
  </si>
  <si>
    <t>Total Cost per Year</t>
  </si>
  <si>
    <t>Operations &amp; Maintenance Cost per Year</t>
  </si>
  <si>
    <t>Total No. of Vehicles (incl. back-up and support)</t>
  </si>
  <si>
    <t xml:space="preserve">Number of Supervisors </t>
  </si>
  <si>
    <t>Single Stream, Carts, Every Other Week Collection</t>
  </si>
  <si>
    <t>Implementing or Transitioning to a Single Stream Residential Curbside Program</t>
  </si>
  <si>
    <t>Implementing a Dual Stream Program Using Bins</t>
  </si>
  <si>
    <t>Implementing a Dual Stream Program Using Carts</t>
  </si>
  <si>
    <t>DISPOSAL / PROCESSING COSTS</t>
  </si>
  <si>
    <t>RECYCLABLES TRANSFER STATION COSTS</t>
  </si>
  <si>
    <t>MRF COSTS</t>
  </si>
  <si>
    <t>Net Disposal Costs (Savings) per Household</t>
  </si>
  <si>
    <t>Cost per Household per Year</t>
  </si>
  <si>
    <t>Total Cost per Household per Year</t>
  </si>
  <si>
    <t>TOTAL COST WITH TRANSFER</t>
  </si>
  <si>
    <t>TOTAL COST WITH MRF- No Transfer</t>
  </si>
  <si>
    <t>Transfer Cost per  sq feet</t>
  </si>
  <si>
    <t>Annual Disposal Savings</t>
  </si>
  <si>
    <t>Implementing a Single Stream Residential Curbside Program</t>
  </si>
  <si>
    <t>Western Disposal</t>
  </si>
  <si>
    <t>N/A</t>
  </si>
  <si>
    <t>Number EO Staff</t>
  </si>
  <si>
    <t>Number of Carts / Containers</t>
  </si>
  <si>
    <t>Cart Maintenance / Delivery</t>
  </si>
  <si>
    <t xml:space="preserve">Number of Cart Delivery Trucks </t>
  </si>
  <si>
    <t>Truck Costs</t>
  </si>
  <si>
    <t>Cost of flat bed truck</t>
  </si>
  <si>
    <t>Web research</t>
  </si>
  <si>
    <t>Flat Bed Maint/ Fuel / Fleet</t>
  </si>
  <si>
    <t>Based on pickup costs</t>
  </si>
  <si>
    <t>Flatbed Annual loan payment</t>
  </si>
  <si>
    <t>Flatbed Total Capital including interest</t>
  </si>
  <si>
    <t>Flatbed Truck Operating Costs</t>
  </si>
  <si>
    <t>Total initial capital Flatbed Trucks</t>
  </si>
  <si>
    <t>Number of Sites</t>
  </si>
  <si>
    <t>Total Capital and Operating Cost per facility</t>
  </si>
  <si>
    <t>Distance fom Dropoff to Transfer</t>
  </si>
  <si>
    <t>Cost per Household per Year (Total HHs)</t>
  </si>
  <si>
    <t>Cost per Household per Month (Participant Only - true up)</t>
  </si>
  <si>
    <t>Round Trip Miles Driven</t>
  </si>
  <si>
    <t>Average Number Miles to Recycler (RT) - One trip per day</t>
  </si>
  <si>
    <t>&lt;-- From Assumption tables</t>
  </si>
  <si>
    <t>Disposal Costs / Revenues (Miles)</t>
  </si>
  <si>
    <t>Summer 2016 Average in US</t>
  </si>
  <si>
    <t>Assume these are miles added on at end of route day to processor / transfer operation, must do 2.5 trips b/c high recycling rate</t>
  </si>
  <si>
    <t>Average Number Miles to Recycler (RT) - Two 1/2 trips per day</t>
  </si>
  <si>
    <t xml:space="preserve">Recycle Cost </t>
  </si>
  <si>
    <t>_</t>
  </si>
  <si>
    <t>Total Operations &amp; Maintenance Cost / Year</t>
  </si>
  <si>
    <t>DETAILS</t>
  </si>
  <si>
    <t>High Monthly Equivalent</t>
  </si>
  <si>
    <t>Total O&amp;M Costs</t>
  </si>
  <si>
    <t>Drop-Off
Per Facility</t>
  </si>
  <si>
    <t>1. Tons of Recycling per Year</t>
  </si>
  <si>
    <t>2. Pounds of Recycling per Household per Year</t>
  </si>
  <si>
    <t>Recycling Drop-Off Center</t>
  </si>
  <si>
    <t>Recycling Drop-Off</t>
  </si>
  <si>
    <t>Recycling Drop-Off Program</t>
  </si>
  <si>
    <t>ISWM COLLECTION OUTPUT FOR:</t>
  </si>
  <si>
    <t>ISWM TRANSFER OUTPUT FOR:</t>
  </si>
  <si>
    <t>3. Annual Net Cost (Total)</t>
  </si>
  <si>
    <t>4. Annual Net Cost (O&amp;M Only)</t>
  </si>
  <si>
    <t>5. Cost per Household per Year</t>
  </si>
  <si>
    <t>6. Cost per Ton Recycled</t>
  </si>
  <si>
    <t>7. Capital Cost (Total)</t>
  </si>
  <si>
    <t>8. Total Number of Vehicles (Including back-up and support)</t>
  </si>
  <si>
    <t>9. Total Number of Staff</t>
  </si>
  <si>
    <t>10. Total Number of Drop-Offs</t>
  </si>
  <si>
    <t>11. Capital Cost Vehicles (Including back-up and support)</t>
  </si>
  <si>
    <t>12. Capital Cost Containers</t>
  </si>
  <si>
    <t>4. Total Annual Capital Cost</t>
  </si>
  <si>
    <t>7. Annual Cost (Total)</t>
  </si>
  <si>
    <t>8. Cost per Household per Year</t>
  </si>
  <si>
    <t>9. Cost per Ton Recycled</t>
  </si>
  <si>
    <t>3. Capital Cost (Total)</t>
  </si>
  <si>
    <t>DROP-OFF SITE COST</t>
  </si>
  <si>
    <t>Management  Allowance 
(5% of Operating Total)</t>
  </si>
  <si>
    <t xml:space="preserve">Annual Total Operations &amp; Maintenance Cost </t>
  </si>
  <si>
    <t xml:space="preserve">Annual Total Cost </t>
  </si>
  <si>
    <t>Number of Drop-Offs</t>
  </si>
  <si>
    <t xml:space="preserve">Annual Total Cost per Site </t>
  </si>
  <si>
    <t>14. Annual Cost for Drop-Off Sites (Total)</t>
  </si>
  <si>
    <t>Included below</t>
  </si>
  <si>
    <t>-</t>
  </si>
  <si>
    <t>Choose Your Program (Transfer Output)</t>
  </si>
  <si>
    <t>Tons Diverted per Year (from Model)</t>
  </si>
  <si>
    <t>2. Cost per Household per Year</t>
  </si>
  <si>
    <t>5. Additional Tons to Make Next Level Efficient</t>
  </si>
  <si>
    <t>Average bin price, slightly lower than 2014 / 15 due to low resin prices</t>
  </si>
  <si>
    <t>Average cart price, slightly lower than 2014 / 15 due to low resin prices</t>
  </si>
  <si>
    <t>% of carts lost or stolen per year</t>
  </si>
  <si>
    <t xml:space="preserve"> % of bins lost or stolen per year</t>
  </si>
  <si>
    <t xml:space="preserve"> % of carts lost or stolen per year</t>
  </si>
  <si>
    <t>Cart manufacturer quote to assemble / deliver for a large City, increased by 33% for smaller communities / contracts</t>
  </si>
  <si>
    <t>Bin delivery cost -no assembly, higher volume per load</t>
  </si>
  <si>
    <t>Based on large community data</t>
  </si>
  <si>
    <t>Average</t>
  </si>
  <si>
    <t>Cost for drop-off truck - delivered, commissioned</t>
  </si>
  <si>
    <t>Cost for rear load split body manual truck- all bin collections - delivered, commissioned</t>
  </si>
  <si>
    <t>Cost for fully auto side load- delivered, commissioned</t>
  </si>
  <si>
    <t>Cost per truck per year</t>
  </si>
  <si>
    <t>Assume consistent across states</t>
  </si>
  <si>
    <t>Average cost, delivered</t>
  </si>
  <si>
    <t>Average for collection</t>
  </si>
  <si>
    <t>Assume replacement, not maintenance</t>
  </si>
  <si>
    <t>Discounts the Lbs. per HH by % to account for the removal of glass from the stream</t>
  </si>
  <si>
    <t>30 yd. Roll off  Truck</t>
  </si>
  <si>
    <t>Discounts the Lbs. per HH by % to account for the removal of glass from the stream, data provided by MRF</t>
  </si>
  <si>
    <t xml:space="preserve">Disposal Costs Revenue </t>
  </si>
  <si>
    <t>Roll off Capacity (CY)</t>
  </si>
  <si>
    <t>Roll off Utilization Factor</t>
  </si>
  <si>
    <t>Roll off Density (lbs./CY)</t>
  </si>
  <si>
    <t>30 Yd. Container Roll off Purchase Cost</t>
  </si>
  <si>
    <r>
      <t>4. Estimate the level of participation in your recycling program. (</t>
    </r>
    <r>
      <rPr>
        <i/>
        <sz val="12"/>
        <color theme="2" tint="-0.749992370372631"/>
        <rFont val="News Gothic MT"/>
      </rPr>
      <t>See "</t>
    </r>
    <r>
      <rPr>
        <i/>
        <u/>
        <sz val="12"/>
        <color theme="2" tint="-0.749992370372631"/>
        <rFont val="News Gothic MT"/>
      </rPr>
      <t>Instruction Page</t>
    </r>
    <r>
      <rPr>
        <i/>
        <sz val="12"/>
        <color theme="2" tint="-0.749992370372631"/>
        <rFont val="News Gothic MT"/>
      </rPr>
      <t>" for more information.</t>
    </r>
    <r>
      <rPr>
        <b/>
        <sz val="12"/>
        <color theme="2" tint="-0.749992370372631"/>
        <rFont val="News Gothic MT"/>
      </rPr>
      <t>)</t>
    </r>
  </si>
  <si>
    <r>
      <t xml:space="preserve">5. Select your community type. </t>
    </r>
    <r>
      <rPr>
        <i/>
        <sz val="12"/>
        <color theme="2" tint="-0.749992370372631"/>
        <rFont val="News Gothic MT"/>
      </rPr>
      <t>(See "</t>
    </r>
    <r>
      <rPr>
        <i/>
        <u/>
        <sz val="12"/>
        <color theme="2" tint="-0.749992370372631"/>
        <rFont val="News Gothic MT"/>
      </rPr>
      <t>Instruction Page</t>
    </r>
    <r>
      <rPr>
        <i/>
        <sz val="12"/>
        <color theme="2" tint="-0.749992370372631"/>
        <rFont val="News Gothic MT"/>
      </rPr>
      <t>" for more information.)</t>
    </r>
  </si>
  <si>
    <r>
      <t xml:space="preserve">7. How "much" do you think people will recycle in your community? </t>
    </r>
    <r>
      <rPr>
        <i/>
        <sz val="12"/>
        <color theme="2" tint="-0.749992370372631"/>
        <rFont val="News Gothic MT"/>
      </rPr>
      <t>(See "</t>
    </r>
    <r>
      <rPr>
        <i/>
        <u/>
        <sz val="12"/>
        <color theme="2" tint="-0.749992370372631"/>
        <rFont val="News Gothic MT"/>
      </rPr>
      <t>Instruction Page</t>
    </r>
    <r>
      <rPr>
        <i/>
        <sz val="12"/>
        <color theme="2" tint="-0.749992370372631"/>
        <rFont val="News Gothic MT"/>
      </rPr>
      <t>" for more information)</t>
    </r>
  </si>
  <si>
    <t>`</t>
  </si>
  <si>
    <t>Curbside Direct haul</t>
  </si>
  <si>
    <t>3. Annual Cost (Capital + Operating) without Revenue</t>
  </si>
  <si>
    <t>1. Cost per Ton including Revenue</t>
  </si>
  <si>
    <t>Total Annual Costs</t>
  </si>
  <si>
    <t>Total Tons Upper Limit</t>
  </si>
  <si>
    <t>Tph</t>
  </si>
  <si>
    <t>Annual Tons 
(2-shift)</t>
  </si>
  <si>
    <t>Annual Tons 
(1-shift)</t>
  </si>
  <si>
    <t>DIRECT HAUL ADDER</t>
  </si>
  <si>
    <t>Multiplier for Direct Haul</t>
  </si>
  <si>
    <t>10. How far it the Recycling Facility  from your municipality?</t>
  </si>
  <si>
    <t>16 - 30 miles (one way)</t>
  </si>
  <si>
    <t>31 to 45 miles (one way)</t>
  </si>
  <si>
    <t>46 - 60 miles (one way)</t>
  </si>
  <si>
    <r>
      <t>15 miles or less (one way)</t>
    </r>
    <r>
      <rPr>
        <i/>
        <sz val="10"/>
        <color theme="1"/>
        <rFont val="News Gothic MT"/>
      </rPr>
      <t xml:space="preserve"> (default)</t>
    </r>
  </si>
  <si>
    <t>61 - 75 miles (one way)</t>
  </si>
  <si>
    <t>76 - 90 miles (one way)</t>
  </si>
  <si>
    <t>More than 90 miles (one way)</t>
  </si>
  <si>
    <t>Multiplier</t>
  </si>
  <si>
    <t>Density (HHs/Route) Muliplier for Time off Route</t>
  </si>
  <si>
    <t>ADDITIONAL COSTS</t>
  </si>
  <si>
    <t>Total Truck Cost</t>
  </si>
  <si>
    <t>NA</t>
  </si>
  <si>
    <t>Residuals Percentage</t>
  </si>
  <si>
    <t>Residuals Disposal</t>
  </si>
  <si>
    <t>Additional Curbside Collection Cost for Direct Haul</t>
  </si>
  <si>
    <t>Residual Disposal Cost per Ton</t>
  </si>
  <si>
    <t>10. How far is it from your municipality to the Transfer Station, MRF, or other end destination for a direct haul  by your curbside recycling collection trucks?</t>
  </si>
  <si>
    <r>
      <t xml:space="preserve">3. Enter the number of households in your community served by your solid waste program. 
</t>
    </r>
    <r>
      <rPr>
        <i/>
        <sz val="12"/>
        <color theme="2" tint="-0.749992370372631"/>
        <rFont val="News Gothic MT"/>
      </rPr>
      <t>(See "</t>
    </r>
    <r>
      <rPr>
        <i/>
        <u/>
        <sz val="12"/>
        <color theme="2" tint="-0.749992370372631"/>
        <rFont val="News Gothic MT"/>
      </rPr>
      <t>Instruction Page</t>
    </r>
    <r>
      <rPr>
        <i/>
        <sz val="12"/>
        <color theme="2" tint="-0.749992370372631"/>
        <rFont val="News Gothic MT"/>
      </rPr>
      <t>" for more information.)</t>
    </r>
  </si>
  <si>
    <r>
      <t xml:space="preserve">11. Do you know the distance to the Materials Recovery Facility you use or would use to process recyclable materials </t>
    </r>
    <r>
      <rPr>
        <b/>
        <i/>
        <sz val="12"/>
        <color theme="2" tint="-0.749992370372631"/>
        <rFont val="News Gothic MT"/>
      </rPr>
      <t xml:space="preserve">if </t>
    </r>
    <r>
      <rPr>
        <b/>
        <sz val="12"/>
        <color theme="2" tint="-0.749992370372631"/>
        <rFont val="News Gothic MT"/>
      </rPr>
      <t>you built a Transfer Station?</t>
    </r>
  </si>
  <si>
    <t>4. Additional Tons to Make Next Level Efficient</t>
  </si>
  <si>
    <t>Choose Your Program Type (From Collection Model)</t>
  </si>
  <si>
    <t>Build Transfer Station (Spoke)</t>
  </si>
  <si>
    <t>Build MRF (Hub)</t>
  </si>
  <si>
    <t>Columbia University 2011  Average</t>
  </si>
  <si>
    <t>TRP 2016 report</t>
  </si>
  <si>
    <t>EPA REGION 4 ISWM MODEL - INPUTS</t>
  </si>
  <si>
    <t>ISWM HUB &amp; SPOKE OUTPUT FOR:</t>
  </si>
  <si>
    <t>INPUTS (You must answer all eleven questions)</t>
  </si>
  <si>
    <r>
      <t xml:space="preserve">If </t>
    </r>
    <r>
      <rPr>
        <b/>
        <i/>
        <sz val="10"/>
        <color rgb="FF009394"/>
        <rFont val="News Gothic MT"/>
      </rPr>
      <t>'Yes'</t>
    </r>
    <r>
      <rPr>
        <b/>
        <i/>
        <sz val="10"/>
        <color theme="2" tint="-0.749992370372631"/>
        <rFont val="News Gothic MT"/>
      </rPr>
      <t xml:space="preserve"> enter your Landfill tip fee, per ton here --&gt;</t>
    </r>
  </si>
  <si>
    <r>
      <t xml:space="preserve">If </t>
    </r>
    <r>
      <rPr>
        <b/>
        <i/>
        <sz val="10"/>
        <color rgb="FF009394"/>
        <rFont val="News Gothic MT"/>
      </rPr>
      <t>'Yes'</t>
    </r>
    <r>
      <rPr>
        <b/>
        <i/>
        <sz val="10"/>
        <color theme="2" tint="-0.749992370372631"/>
        <rFont val="News Gothic MT"/>
      </rPr>
      <t>, enter Recycling processor fee (negative) or revenue per ton (positive) here --&gt;</t>
    </r>
  </si>
  <si>
    <r>
      <t>If '</t>
    </r>
    <r>
      <rPr>
        <b/>
        <i/>
        <sz val="10"/>
        <color rgb="FF009394"/>
        <rFont val="News Gothic MT"/>
      </rPr>
      <t>Yes'</t>
    </r>
    <r>
      <rPr>
        <b/>
        <i/>
        <sz val="10"/>
        <color theme="2" tint="-0.749992370372631"/>
        <rFont val="News Gothic MT"/>
      </rPr>
      <t xml:space="preserve"> enter the One way distance to the MRF here --&gt;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</si>
</sst>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_(* #,##0.0_);_(* \(#,##0.0\);_(* &quot;-&quot;??_);_(@_)"/>
    <numFmt numFmtId="167" formatCode="0.0%"/>
    <numFmt numFmtId="168" formatCode="_(&quot;$&quot;* #,##0_);_(&quot;$&quot;* \(#,##0\);_(&quot;$&quot;* &quot;-&quot;??_);_(@_)"/>
    <numFmt numFmtId="169" formatCode="0.000"/>
    <numFmt numFmtId="170" formatCode="_(&quot;$&quot;* #,##0.0_);_(&quot;$&quot;* \(#,##0.0\);_(&quot;$&quot;* &quot;-&quot;?_);_(@_)"/>
    <numFmt numFmtId="171" formatCode="_(* #,##0.000_);_(* \(#,##0.000\);_(* &quot;-&quot;??_);_(@_)"/>
    <numFmt numFmtId="172" formatCode="0.00\ &quot;tph&quot;"/>
    <numFmt numFmtId="173" formatCode="&quot;$&quot;#,##0"/>
    <numFmt numFmtId="174" formatCode="0\ &quot;years&quot;"/>
    <numFmt numFmtId="175" formatCode="_-[$$-1009]* #,##0.00_-;\-[$$-1009]* #,##0.00_-;_-[$$-1009]* &quot;-&quot;??_-;_-@_-"/>
    <numFmt numFmtId="176" formatCode="_(&quot;$&quot;* #,##0.000_);_(&quot;$&quot;* \(#,##0.000\);_(&quot;$&quot;* &quot;-&quot;??_);_(@_)"/>
    <numFmt numFmtId="177" formatCode="_(&quot;$&quot;* #,##0_);_(&quot;$&quot;* \(#,##0\);_(&quot;$&quot;* &quot;-&quot;?_);_(@_)"/>
    <numFmt numFmtId="178" formatCode="&quot;$&quot;#,##0.00"/>
    <numFmt numFmtId="179" formatCode="0.0000"/>
  </numFmts>
  <fonts count="69">
    <font>
      <sz val="11"/>
      <color theme="1"/>
      <name val="Calibri"/>
      <family val="2"/>
      <scheme val="minor"/>
    </font>
    <font>
      <sz val="11"/>
      <color theme="1"/>
      <name val="Calibri"/>
      <family val="2"/>
      <scheme val="minor"/>
    </font>
    <font>
      <sz val="10"/>
      <color theme="1"/>
      <name val="Arial Narrow"/>
      <family val="2"/>
    </font>
    <font>
      <b/>
      <sz val="10"/>
      <color theme="1"/>
      <name val="Arial Narrow"/>
      <family val="2"/>
    </font>
    <font>
      <i/>
      <sz val="10"/>
      <color theme="1"/>
      <name val="Arial Narrow"/>
      <family val="2"/>
    </font>
    <font>
      <b/>
      <sz val="16"/>
      <color theme="1"/>
      <name val="Arial Narrow"/>
      <family val="2"/>
    </font>
    <font>
      <sz val="11"/>
      <color theme="1"/>
      <name val="Arial Narrow"/>
      <family val="2"/>
    </font>
    <font>
      <sz val="10"/>
      <name val="Arial Narrow"/>
      <family val="2"/>
    </font>
    <font>
      <sz val="11"/>
      <color indexed="8"/>
      <name val="Calibri"/>
      <family val="2"/>
    </font>
    <font>
      <sz val="12"/>
      <color theme="1"/>
      <name val="Arial"/>
      <family val="2"/>
    </font>
    <font>
      <sz val="11"/>
      <name val="Calibri"/>
      <family val="2"/>
    </font>
    <font>
      <sz val="10"/>
      <name val="Arial"/>
      <family val="2"/>
    </font>
    <font>
      <b/>
      <sz val="11"/>
      <name val="Calibri"/>
      <family val="2"/>
    </font>
    <font>
      <b/>
      <sz val="9"/>
      <color indexed="81"/>
      <name val="Tahoma"/>
      <family val="2"/>
    </font>
    <font>
      <sz val="9"/>
      <color indexed="81"/>
      <name val="Tahoma"/>
      <family val="2"/>
    </font>
    <font>
      <b/>
      <sz val="11"/>
      <color theme="1"/>
      <name val="Calibri"/>
      <family val="2"/>
      <scheme val="minor"/>
    </font>
    <font>
      <sz val="10"/>
      <name val="Verdana"/>
      <family val="2"/>
    </font>
    <font>
      <sz val="10"/>
      <color theme="1"/>
      <name val="Verdana"/>
      <family val="2"/>
    </font>
    <font>
      <u/>
      <sz val="11"/>
      <color theme="10"/>
      <name val="Calibri"/>
      <family val="2"/>
      <scheme val="minor"/>
    </font>
    <font>
      <u/>
      <sz val="11"/>
      <color theme="11"/>
      <name val="Calibri"/>
      <family val="2"/>
      <scheme val="minor"/>
    </font>
    <font>
      <sz val="10"/>
      <color rgb="FF000000"/>
      <name val="Arial Narrow"/>
      <family val="2"/>
    </font>
    <font>
      <sz val="10"/>
      <color theme="1"/>
      <name val="News Gothic MT"/>
    </font>
    <font>
      <b/>
      <sz val="12"/>
      <color theme="1"/>
      <name val="News Gothic MT"/>
    </font>
    <font>
      <sz val="10"/>
      <color rgb="FFFF0000"/>
      <name val="News Gothic MT"/>
    </font>
    <font>
      <b/>
      <i/>
      <sz val="10"/>
      <color rgb="FFFF0000"/>
      <name val="News Gothic MT"/>
    </font>
    <font>
      <sz val="10"/>
      <name val="News Gothic MT"/>
    </font>
    <font>
      <b/>
      <sz val="10"/>
      <color theme="1"/>
      <name val="News Gothic MT"/>
    </font>
    <font>
      <sz val="8"/>
      <name val="Calibri"/>
      <family val="2"/>
      <scheme val="minor"/>
    </font>
    <font>
      <b/>
      <sz val="28"/>
      <color theme="0"/>
      <name val="Gill Sans MT Condensed"/>
      <family val="2"/>
    </font>
    <font>
      <b/>
      <sz val="24"/>
      <color theme="4"/>
      <name val="Gill Sans MT Condensed"/>
      <family val="2"/>
    </font>
    <font>
      <i/>
      <sz val="10"/>
      <color theme="1"/>
      <name val="News Gothic MT"/>
    </font>
    <font>
      <b/>
      <sz val="11"/>
      <color theme="1"/>
      <name val="News Gothic MT"/>
    </font>
    <font>
      <sz val="11"/>
      <color theme="1"/>
      <name val="News Gothic MT"/>
    </font>
    <font>
      <sz val="9"/>
      <color theme="1"/>
      <name val="News Gothic MT"/>
    </font>
    <font>
      <b/>
      <sz val="9"/>
      <color theme="1"/>
      <name val="News Gothic MT"/>
    </font>
    <font>
      <b/>
      <sz val="9"/>
      <color theme="0"/>
      <name val="News Gothic MT"/>
    </font>
    <font>
      <i/>
      <sz val="24"/>
      <color theme="0" tint="-0.499984740745262"/>
      <name val="Gill Sans MT Condensed"/>
      <family val="2"/>
    </font>
    <font>
      <b/>
      <sz val="9"/>
      <color theme="2" tint="-0.89999084444715716"/>
      <name val="News Gothic MT"/>
    </font>
    <font>
      <sz val="10"/>
      <color rgb="FF000000"/>
      <name val="News Gothic MT"/>
    </font>
    <font>
      <sz val="10"/>
      <color indexed="8"/>
      <name val="News Gothic MT"/>
    </font>
    <font>
      <b/>
      <sz val="10"/>
      <name val="News Gothic MT"/>
    </font>
    <font>
      <sz val="9"/>
      <color theme="2" tint="-0.89999084444715716"/>
      <name val="News Gothic MT"/>
    </font>
    <font>
      <sz val="9"/>
      <color theme="0"/>
      <name val="News Gothic MT"/>
    </font>
    <font>
      <i/>
      <sz val="24"/>
      <color theme="0" tint="-0.499984740745262"/>
      <name val="Gill Sans MT"/>
      <family val="2"/>
    </font>
    <font>
      <sz val="9"/>
      <color rgb="FF000000"/>
      <name val="News Gothic MT"/>
    </font>
    <font>
      <b/>
      <sz val="9"/>
      <color rgb="FF000000"/>
      <name val="News Gothic MT"/>
    </font>
    <font>
      <b/>
      <i/>
      <sz val="9"/>
      <color rgb="FF000000"/>
      <name val="News Gothic MT"/>
    </font>
    <font>
      <sz val="10"/>
      <color theme="0" tint="-4.9989318521683403E-2"/>
      <name val="News Gothic MT"/>
    </font>
    <font>
      <b/>
      <sz val="24"/>
      <color theme="4"/>
      <name val="Gill Sans MT Condensed"/>
      <family val="2"/>
    </font>
    <font>
      <b/>
      <sz val="10"/>
      <name val="Arial Narrow"/>
      <family val="2"/>
    </font>
    <font>
      <sz val="10"/>
      <color rgb="FFFF0000"/>
      <name val="Arial Narrow"/>
      <family val="2"/>
    </font>
    <font>
      <sz val="10"/>
      <color theme="2" tint="-0.749992370372631"/>
      <name val="News Gothic MT"/>
    </font>
    <font>
      <b/>
      <sz val="12"/>
      <color theme="2" tint="-0.749992370372631"/>
      <name val="News Gothic MT"/>
    </font>
    <font>
      <i/>
      <sz val="12"/>
      <color theme="2" tint="-0.749992370372631"/>
      <name val="News Gothic MT"/>
    </font>
    <font>
      <i/>
      <u/>
      <sz val="12"/>
      <color theme="2" tint="-0.749992370372631"/>
      <name val="News Gothic MT"/>
    </font>
    <font>
      <i/>
      <sz val="10"/>
      <color theme="2" tint="-0.749992370372631"/>
      <name val="News Gothic MT"/>
    </font>
    <font>
      <i/>
      <sz val="9"/>
      <color theme="2" tint="-0.749992370372631"/>
      <name val="News Gothic MT"/>
    </font>
    <font>
      <sz val="10"/>
      <color theme="2" tint="-0.749992370372631"/>
      <name val="Arial Narrow"/>
      <family val="2"/>
    </font>
    <font>
      <b/>
      <sz val="10"/>
      <color theme="2" tint="-0.749992370372631"/>
      <name val="Arial Narrow"/>
      <family val="2"/>
    </font>
    <font>
      <i/>
      <sz val="11"/>
      <name val="Calibri"/>
      <family val="2"/>
    </font>
    <font>
      <b/>
      <i/>
      <sz val="11"/>
      <color theme="1"/>
      <name val="Arial Narrow"/>
      <family val="2"/>
    </font>
    <font>
      <sz val="9"/>
      <name val="News Gothic MT"/>
    </font>
    <font>
      <b/>
      <i/>
      <sz val="12"/>
      <color theme="2" tint="-0.749992370372631"/>
      <name val="News Gothic MT"/>
    </font>
    <font>
      <b/>
      <sz val="36"/>
      <color theme="4"/>
      <name val="Gill Sans MT Condensed"/>
      <family val="2"/>
    </font>
    <font>
      <b/>
      <sz val="10"/>
      <color theme="2" tint="-0.749992370372631"/>
      <name val="News Gothic MT"/>
    </font>
    <font>
      <b/>
      <i/>
      <sz val="10"/>
      <color theme="2" tint="-0.749992370372631"/>
      <name val="News Gothic MT"/>
    </font>
    <font>
      <sz val="10.5"/>
      <color theme="2" tint="-0.749992370372631"/>
      <name val="Arial Narrow"/>
      <family val="2"/>
    </font>
    <font>
      <i/>
      <sz val="9"/>
      <color theme="2" tint="-0.89999084444715716"/>
      <name val="News Gothic MT"/>
    </font>
    <font>
      <b/>
      <i/>
      <sz val="10"/>
      <color rgb="FF009394"/>
      <name val="News Gothic MT"/>
    </font>
  </fonts>
  <fills count="21">
    <fill>
      <patternFill patternType="none"/>
    </fill>
    <fill>
      <patternFill patternType="gray125"/>
    </fill>
    <fill>
      <patternFill patternType="solid">
        <fgColor theme="0" tint="-0.34998626667073579"/>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66FFFF"/>
        <bgColor indexed="64"/>
      </patternFill>
    </fill>
    <fill>
      <patternFill patternType="solid">
        <fgColor indexed="62"/>
        <bgColor indexed="64"/>
      </patternFill>
    </fill>
    <fill>
      <patternFill patternType="solid">
        <fgColor theme="4"/>
        <bgColor indexed="64"/>
      </patternFill>
    </fill>
    <fill>
      <patternFill patternType="solid">
        <fgColor theme="0" tint="-4.9989318521683403E-2"/>
        <bgColor indexed="64"/>
      </patternFill>
    </fill>
    <fill>
      <patternFill patternType="solid">
        <fgColor rgb="FF009394"/>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0" tint="-0.249977111117893"/>
        <bgColor indexed="64"/>
      </patternFill>
    </fill>
  </fills>
  <borders count="5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medium">
        <color auto="1"/>
      </left>
      <right/>
      <top style="thin">
        <color auto="1"/>
      </top>
      <bottom style="thin">
        <color auto="1"/>
      </bottom>
      <diagonal/>
    </border>
    <border>
      <left style="medium">
        <color auto="1"/>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ck">
        <color theme="0"/>
      </right>
      <top/>
      <bottom/>
      <diagonal/>
    </border>
    <border>
      <left style="thin">
        <color theme="0"/>
      </left>
      <right style="thick">
        <color theme="0"/>
      </right>
      <top style="thin">
        <color theme="0"/>
      </top>
      <bottom style="thin">
        <color theme="0"/>
      </bottom>
      <diagonal/>
    </border>
    <border>
      <left style="thick">
        <color theme="0"/>
      </left>
      <right style="thin">
        <color theme="0"/>
      </right>
      <top style="thin">
        <color theme="0"/>
      </top>
      <bottom style="thin">
        <color theme="0"/>
      </bottom>
      <diagonal/>
    </border>
    <border>
      <left/>
      <right style="thick">
        <color theme="0"/>
      </right>
      <top style="thin">
        <color theme="0"/>
      </top>
      <bottom style="thin">
        <color theme="0"/>
      </bottom>
      <diagonal/>
    </border>
    <border>
      <left style="thin">
        <color theme="0"/>
      </left>
      <right style="thick">
        <color theme="0"/>
      </right>
      <top style="thin">
        <color theme="0"/>
      </top>
      <bottom/>
      <diagonal/>
    </border>
    <border>
      <left/>
      <right style="thick">
        <color theme="0"/>
      </right>
      <top style="thin">
        <color theme="0"/>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theme="0"/>
      </top>
      <bottom style="thin">
        <color theme="0"/>
      </bottom>
      <diagonal/>
    </border>
    <border>
      <left/>
      <right style="thin">
        <color theme="0"/>
      </right>
      <top/>
      <bottom style="thin">
        <color theme="0"/>
      </bottom>
      <diagonal/>
    </border>
    <border>
      <left style="thick">
        <color theme="0"/>
      </left>
      <right/>
      <top style="thin">
        <color theme="0"/>
      </top>
      <bottom style="thin">
        <color theme="0"/>
      </bottom>
      <diagonal/>
    </border>
    <border>
      <left/>
      <right/>
      <top/>
      <bottom style="thin">
        <color theme="0"/>
      </bottom>
      <diagonal/>
    </border>
    <border>
      <left style="dashDot">
        <color auto="1"/>
      </left>
      <right style="dashDot">
        <color auto="1"/>
      </right>
      <top style="dashDot">
        <color auto="1"/>
      </top>
      <bottom style="dashDot">
        <color auto="1"/>
      </bottom>
      <diagonal/>
    </border>
    <border>
      <left style="dashDotDot">
        <color auto="1"/>
      </left>
      <right style="dashDotDot">
        <color auto="1"/>
      </right>
      <top style="dashDotDot">
        <color auto="1"/>
      </top>
      <bottom style="dashDotDot">
        <color auto="1"/>
      </bottom>
      <diagonal/>
    </border>
  </borders>
  <cellStyleXfs count="7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8" fillId="0" borderId="0" applyFont="0" applyFill="0" applyBorder="0" applyAlignment="0" applyProtection="0"/>
    <xf numFmtId="3" fontId="1" fillId="0" borderId="0"/>
    <xf numFmtId="172" fontId="9" fillId="0" borderId="0" applyFont="0" applyFill="0" applyBorder="0" applyAlignment="0" applyProtection="0"/>
    <xf numFmtId="9" fontId="9" fillId="0" borderId="0" applyFont="0" applyFill="0" applyBorder="0" applyAlignment="0" applyProtection="0"/>
    <xf numFmtId="0" fontId="11"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529">
    <xf numFmtId="0" fontId="0" fillId="0" borderId="0" xfId="0"/>
    <xf numFmtId="0" fontId="2" fillId="0" borderId="0" xfId="0" applyFont="1"/>
    <xf numFmtId="0" fontId="3" fillId="0" borderId="0" xfId="0" applyFont="1"/>
    <xf numFmtId="0" fontId="2" fillId="0" borderId="1" xfId="0" applyFont="1" applyBorder="1"/>
    <xf numFmtId="165" fontId="2" fillId="0" borderId="1" xfId="0" applyNumberFormat="1" applyFont="1" applyBorder="1"/>
    <xf numFmtId="44" fontId="2" fillId="0" borderId="1" xfId="2" applyFont="1" applyBorder="1"/>
    <xf numFmtId="0" fontId="2" fillId="0" borderId="0" xfId="0" applyFont="1" applyFill="1" applyBorder="1"/>
    <xf numFmtId="1" fontId="2" fillId="0" borderId="1" xfId="0" applyNumberFormat="1" applyFont="1" applyBorder="1"/>
    <xf numFmtId="0" fontId="2" fillId="7" borderId="0" xfId="0" applyFont="1" applyFill="1" applyBorder="1"/>
    <xf numFmtId="167" fontId="2" fillId="0" borderId="0" xfId="3" applyNumberFormat="1" applyFont="1"/>
    <xf numFmtId="167" fontId="2" fillId="0" borderId="1" xfId="3" applyNumberFormat="1" applyFont="1" applyBorder="1"/>
    <xf numFmtId="0" fontId="2" fillId="9" borderId="1" xfId="0" applyFont="1" applyFill="1" applyBorder="1"/>
    <xf numFmtId="0" fontId="5" fillId="0" borderId="0" xfId="0" applyFont="1"/>
    <xf numFmtId="8" fontId="2" fillId="0" borderId="1" xfId="0" applyNumberFormat="1" applyFont="1" applyBorder="1"/>
    <xf numFmtId="164" fontId="2" fillId="0" borderId="1" xfId="1" applyNumberFormat="1" applyFont="1" applyBorder="1"/>
    <xf numFmtId="6" fontId="2" fillId="0" borderId="1" xfId="0" applyNumberFormat="1" applyFont="1" applyBorder="1"/>
    <xf numFmtId="6" fontId="2" fillId="0" borderId="1" xfId="2" applyNumberFormat="1" applyFont="1" applyBorder="1"/>
    <xf numFmtId="9" fontId="2" fillId="0" borderId="1" xfId="3" applyFont="1" applyBorder="1"/>
    <xf numFmtId="0" fontId="2" fillId="10" borderId="1" xfId="0" applyFont="1" applyFill="1" applyBorder="1"/>
    <xf numFmtId="8" fontId="0" fillId="0" borderId="0" xfId="0" applyNumberFormat="1"/>
    <xf numFmtId="9" fontId="0" fillId="0" borderId="0" xfId="0" applyNumberFormat="1"/>
    <xf numFmtId="164" fontId="2" fillId="0" borderId="1" xfId="0" applyNumberFormat="1" applyFont="1" applyBorder="1"/>
    <xf numFmtId="168" fontId="2" fillId="0" borderId="1" xfId="2" applyNumberFormat="1" applyFont="1" applyBorder="1"/>
    <xf numFmtId="168" fontId="0" fillId="0" borderId="1" xfId="2" applyNumberFormat="1" applyFont="1" applyBorder="1"/>
    <xf numFmtId="169" fontId="2" fillId="0" borderId="1" xfId="0" applyNumberFormat="1" applyFont="1" applyBorder="1"/>
    <xf numFmtId="166" fontId="2" fillId="0" borderId="1" xfId="1" applyNumberFormat="1" applyFont="1" applyBorder="1"/>
    <xf numFmtId="0" fontId="3" fillId="11" borderId="0" xfId="0" applyFont="1" applyFill="1"/>
    <xf numFmtId="6" fontId="2" fillId="0" borderId="5" xfId="0" applyNumberFormat="1" applyFont="1" applyBorder="1"/>
    <xf numFmtId="0" fontId="6" fillId="0" borderId="0" xfId="0" applyFont="1"/>
    <xf numFmtId="0" fontId="0" fillId="7" borderId="0" xfId="0" applyFill="1"/>
    <xf numFmtId="0" fontId="10" fillId="0" borderId="0" xfId="4" applyFont="1" applyBorder="1" applyAlignment="1">
      <alignment horizontal="left" indent="1"/>
    </xf>
    <xf numFmtId="0" fontId="12" fillId="0" borderId="0" xfId="4" applyFont="1" applyBorder="1" applyAlignment="1">
      <alignment horizontal="left"/>
    </xf>
    <xf numFmtId="0" fontId="12" fillId="0" borderId="1" xfId="4" applyFont="1" applyBorder="1" applyAlignment="1">
      <alignment horizontal="left"/>
    </xf>
    <xf numFmtId="0" fontId="10" fillId="14" borderId="1" xfId="4" applyFont="1" applyFill="1" applyBorder="1" applyAlignment="1">
      <alignment horizontal="right"/>
    </xf>
    <xf numFmtId="0" fontId="10" fillId="0" borderId="1" xfId="4" applyFont="1" applyFill="1" applyBorder="1" applyAlignment="1">
      <alignment horizontal="left"/>
    </xf>
    <xf numFmtId="0" fontId="10" fillId="0" borderId="1" xfId="4" applyFont="1" applyFill="1" applyBorder="1" applyAlignment="1">
      <alignment horizontal="left" indent="1"/>
    </xf>
    <xf numFmtId="168" fontId="10" fillId="3" borderId="1" xfId="2" applyNumberFormat="1" applyFont="1" applyFill="1" applyBorder="1" applyAlignment="1">
      <alignment horizontal="right"/>
    </xf>
    <xf numFmtId="0" fontId="10" fillId="0" borderId="1" xfId="9" applyFont="1" applyBorder="1" applyAlignment="1">
      <alignment horizontal="left" indent="1"/>
    </xf>
    <xf numFmtId="168" fontId="10" fillId="3" borderId="1" xfId="2" applyNumberFormat="1" applyFont="1" applyFill="1" applyBorder="1"/>
    <xf numFmtId="3" fontId="10" fillId="3" borderId="1" xfId="1" applyNumberFormat="1" applyFont="1" applyFill="1" applyBorder="1" applyAlignment="1">
      <alignment horizontal="center"/>
    </xf>
    <xf numFmtId="2" fontId="10" fillId="3" borderId="1" xfId="1" applyNumberFormat="1" applyFont="1" applyFill="1" applyBorder="1" applyAlignment="1">
      <alignment horizontal="center"/>
    </xf>
    <xf numFmtId="0" fontId="12" fillId="0" borderId="0" xfId="4" applyFont="1"/>
    <xf numFmtId="0" fontId="0" fillId="0" borderId="0" xfId="0" applyFont="1"/>
    <xf numFmtId="0" fontId="0" fillId="9" borderId="1" xfId="0" applyFont="1" applyFill="1" applyBorder="1"/>
    <xf numFmtId="164" fontId="2" fillId="0" borderId="0" xfId="1" applyNumberFormat="1" applyFont="1"/>
    <xf numFmtId="0" fontId="16" fillId="0" borderId="0" xfId="0" applyFont="1"/>
    <xf numFmtId="0" fontId="16" fillId="0" borderId="0" xfId="0" applyFont="1" applyAlignment="1">
      <alignment horizontal="center"/>
    </xf>
    <xf numFmtId="3" fontId="17" fillId="0" borderId="0" xfId="0" applyNumberFormat="1" applyFont="1" applyBorder="1"/>
    <xf numFmtId="164" fontId="2" fillId="0" borderId="0" xfId="0" applyNumberFormat="1" applyFont="1"/>
    <xf numFmtId="179" fontId="2" fillId="0" borderId="0" xfId="0" applyNumberFormat="1" applyFont="1"/>
    <xf numFmtId="2" fontId="2" fillId="0" borderId="0" xfId="0" applyNumberFormat="1" applyFont="1"/>
    <xf numFmtId="0" fontId="2" fillId="0" borderId="0" xfId="0" applyFont="1" applyAlignment="1">
      <alignment horizontal="center" wrapText="1"/>
    </xf>
    <xf numFmtId="0" fontId="3" fillId="0" borderId="0" xfId="0" applyFont="1" applyAlignment="1">
      <alignment horizontal="center" wrapText="1"/>
    </xf>
    <xf numFmtId="1" fontId="2" fillId="0" borderId="0" xfId="0" applyNumberFormat="1" applyFont="1"/>
    <xf numFmtId="43" fontId="0" fillId="0" borderId="0" xfId="0" applyNumberFormat="1"/>
    <xf numFmtId="178" fontId="2" fillId="0" borderId="1" xfId="2" applyNumberFormat="1" applyFont="1" applyBorder="1"/>
    <xf numFmtId="177" fontId="10" fillId="3" borderId="1" xfId="2" applyNumberFormat="1" applyFont="1" applyFill="1" applyBorder="1"/>
    <xf numFmtId="0" fontId="10" fillId="0" borderId="1" xfId="4" applyFont="1" applyFill="1" applyBorder="1" applyAlignment="1">
      <alignment horizontal="right"/>
    </xf>
    <xf numFmtId="0" fontId="12" fillId="0" borderId="1" xfId="0" applyFont="1" applyBorder="1"/>
    <xf numFmtId="0" fontId="0" fillId="0" borderId="1" xfId="0" applyBorder="1"/>
    <xf numFmtId="0" fontId="12" fillId="0" borderId="1" xfId="4" applyFont="1" applyFill="1" applyBorder="1" applyAlignment="1">
      <alignment horizontal="left"/>
    </xf>
    <xf numFmtId="0" fontId="10" fillId="0" borderId="17" xfId="4" applyFont="1" applyFill="1" applyBorder="1" applyAlignment="1">
      <alignment horizontal="left" indent="1"/>
    </xf>
    <xf numFmtId="168" fontId="2" fillId="0" borderId="1" xfId="0" applyNumberFormat="1" applyFont="1" applyBorder="1"/>
    <xf numFmtId="0" fontId="7" fillId="0" borderId="0" xfId="0" applyFont="1" applyAlignment="1">
      <alignment horizontal="center"/>
    </xf>
    <xf numFmtId="2" fontId="20" fillId="0" borderId="0" xfId="0" applyNumberFormat="1" applyFont="1"/>
    <xf numFmtId="0" fontId="20" fillId="0" borderId="0" xfId="0" applyFont="1"/>
    <xf numFmtId="1" fontId="2" fillId="0" borderId="0" xfId="0" applyNumberFormat="1" applyFont="1" applyAlignment="1">
      <alignment horizontal="right"/>
    </xf>
    <xf numFmtId="1" fontId="2" fillId="0" borderId="1" xfId="1" applyNumberFormat="1" applyFont="1" applyBorder="1" applyAlignment="1">
      <alignment horizontal="right"/>
    </xf>
    <xf numFmtId="0" fontId="12" fillId="0" borderId="20" xfId="4" applyFont="1" applyBorder="1" applyAlignment="1">
      <alignment horizontal="center" vertical="center"/>
    </xf>
    <xf numFmtId="164" fontId="0" fillId="0" borderId="1" xfId="1" applyNumberFormat="1" applyFont="1" applyFill="1" applyBorder="1" applyAlignment="1">
      <alignment horizontal="right" wrapText="1"/>
    </xf>
    <xf numFmtId="164" fontId="0" fillId="0" borderId="1" xfId="1" applyNumberFormat="1" applyFont="1" applyBorder="1"/>
    <xf numFmtId="1" fontId="0" fillId="0" borderId="1" xfId="0" applyNumberFormat="1" applyBorder="1"/>
    <xf numFmtId="0" fontId="10" fillId="0" borderId="14" xfId="4" applyFont="1" applyBorder="1" applyAlignment="1">
      <alignment horizontal="left" indent="1"/>
    </xf>
    <xf numFmtId="0" fontId="10" fillId="0" borderId="14" xfId="4" applyFont="1" applyBorder="1" applyAlignment="1">
      <alignment horizontal="left"/>
    </xf>
    <xf numFmtId="0" fontId="10" fillId="0" borderId="14" xfId="4" applyFont="1" applyBorder="1" applyAlignment="1">
      <alignment horizontal="left" indent="2"/>
    </xf>
    <xf numFmtId="0" fontId="10" fillId="0" borderId="14" xfId="4" applyFont="1" applyFill="1" applyBorder="1" applyAlignment="1">
      <alignment horizontal="left" indent="1"/>
    </xf>
    <xf numFmtId="0" fontId="10" fillId="0" borderId="14" xfId="4" applyFont="1" applyFill="1" applyBorder="1" applyAlignment="1">
      <alignment horizontal="left"/>
    </xf>
    <xf numFmtId="0" fontId="12" fillId="0" borderId="14" xfId="4" applyFont="1" applyBorder="1" applyAlignment="1">
      <alignment horizontal="left"/>
    </xf>
    <xf numFmtId="0" fontId="12" fillId="0" borderId="14" xfId="4" applyFont="1" applyBorder="1" applyAlignment="1">
      <alignment horizontal="left" indent="1"/>
    </xf>
    <xf numFmtId="0" fontId="10" fillId="0" borderId="14" xfId="4" applyFont="1" applyBorder="1" applyAlignment="1">
      <alignment horizontal="left" indent="3"/>
    </xf>
    <xf numFmtId="0" fontId="10" fillId="0" borderId="14" xfId="4" applyFont="1" applyBorder="1" applyAlignment="1">
      <alignment horizontal="left" wrapText="1"/>
    </xf>
    <xf numFmtId="177" fontId="0" fillId="0" borderId="1" xfId="0" applyNumberFormat="1" applyFill="1" applyBorder="1"/>
    <xf numFmtId="170" fontId="0" fillId="0" borderId="1" xfId="0" applyNumberFormat="1" applyFill="1" applyBorder="1"/>
    <xf numFmtId="177" fontId="0" fillId="0" borderId="1" xfId="0" applyNumberFormat="1" applyBorder="1"/>
    <xf numFmtId="170" fontId="0" fillId="0" borderId="1" xfId="0" applyNumberFormat="1" applyBorder="1"/>
    <xf numFmtId="2" fontId="0" fillId="0" borderId="1" xfId="0" applyNumberFormat="1" applyBorder="1"/>
    <xf numFmtId="177" fontId="15" fillId="0" borderId="1" xfId="0" applyNumberFormat="1" applyFont="1" applyBorder="1"/>
    <xf numFmtId="2" fontId="0" fillId="0" borderId="1" xfId="0" applyNumberFormat="1" applyBorder="1" applyAlignment="1">
      <alignment horizontal="center"/>
    </xf>
    <xf numFmtId="0" fontId="0" fillId="0" borderId="1" xfId="0" applyBorder="1" applyAlignment="1">
      <alignment horizontal="center"/>
    </xf>
    <xf numFmtId="44" fontId="0" fillId="0" borderId="1" xfId="0" applyNumberFormat="1" applyBorder="1"/>
    <xf numFmtId="44" fontId="0" fillId="0" borderId="1" xfId="2" applyFont="1" applyBorder="1"/>
    <xf numFmtId="176" fontId="0" fillId="0" borderId="1" xfId="2" applyNumberFormat="1" applyFont="1" applyBorder="1"/>
    <xf numFmtId="37" fontId="0" fillId="0" borderId="1" xfId="2" applyNumberFormat="1" applyFont="1" applyBorder="1"/>
    <xf numFmtId="39" fontId="0" fillId="0" borderId="1" xfId="0" applyNumberFormat="1" applyBorder="1"/>
    <xf numFmtId="7" fontId="0" fillId="0" borderId="1" xfId="2" applyNumberFormat="1" applyFont="1" applyBorder="1"/>
    <xf numFmtId="5" fontId="0" fillId="0" borderId="1" xfId="2" applyNumberFormat="1" applyFont="1" applyBorder="1"/>
    <xf numFmtId="0" fontId="0" fillId="0" borderId="0" xfId="0" applyBorder="1"/>
    <xf numFmtId="0" fontId="4" fillId="0" borderId="0" xfId="0" applyFont="1" applyFill="1" applyBorder="1"/>
    <xf numFmtId="8" fontId="2" fillId="0" borderId="1" xfId="2" applyNumberFormat="1" applyFont="1" applyBorder="1"/>
    <xf numFmtId="44" fontId="2" fillId="0" borderId="1" xfId="2" applyNumberFormat="1" applyFont="1" applyBorder="1"/>
    <xf numFmtId="0" fontId="3" fillId="0" borderId="0" xfId="0" applyFont="1" applyAlignment="1">
      <alignment wrapText="1"/>
    </xf>
    <xf numFmtId="0" fontId="21" fillId="7" borderId="0" xfId="0" applyFont="1" applyFill="1" applyBorder="1"/>
    <xf numFmtId="0" fontId="21" fillId="0" borderId="0" xfId="0" applyFont="1" applyFill="1" applyBorder="1"/>
    <xf numFmtId="0" fontId="21" fillId="7" borderId="0" xfId="0" applyFont="1" applyFill="1" applyBorder="1" applyAlignment="1">
      <alignment vertical="center"/>
    </xf>
    <xf numFmtId="0" fontId="21" fillId="0" borderId="0" xfId="0" applyFont="1" applyFill="1" applyBorder="1" applyAlignment="1">
      <alignment vertical="center"/>
    </xf>
    <xf numFmtId="0" fontId="21" fillId="7" borderId="0" xfId="0" applyFont="1" applyFill="1" applyBorder="1" applyAlignment="1"/>
    <xf numFmtId="0" fontId="21" fillId="0" borderId="0" xfId="0" applyFont="1" applyFill="1" applyBorder="1" applyAlignment="1"/>
    <xf numFmtId="0" fontId="23" fillId="7" borderId="0" xfId="0" applyFont="1" applyFill="1" applyBorder="1" applyAlignment="1"/>
    <xf numFmtId="0" fontId="21" fillId="16" borderId="0" xfId="0" applyFont="1" applyFill="1" applyBorder="1" applyAlignment="1"/>
    <xf numFmtId="0" fontId="24" fillId="16" borderId="0" xfId="0" applyFont="1" applyFill="1" applyBorder="1" applyAlignment="1">
      <alignment horizontal="right"/>
    </xf>
    <xf numFmtId="0" fontId="2" fillId="7" borderId="0" xfId="0" applyFont="1" applyFill="1"/>
    <xf numFmtId="0" fontId="21" fillId="7" borderId="0" xfId="0" applyFont="1" applyFill="1"/>
    <xf numFmtId="0" fontId="33" fillId="7" borderId="0" xfId="0" applyFont="1" applyFill="1"/>
    <xf numFmtId="0" fontId="34" fillId="7" borderId="0" xfId="0" applyFont="1" applyFill="1"/>
    <xf numFmtId="168" fontId="33" fillId="7" borderId="0" xfId="2" applyNumberFormat="1" applyFont="1" applyFill="1" applyBorder="1"/>
    <xf numFmtId="0" fontId="33" fillId="7" borderId="0" xfId="0" applyFont="1" applyFill="1" applyAlignment="1">
      <alignment wrapText="1"/>
    </xf>
    <xf numFmtId="0" fontId="33" fillId="7" borderId="0" xfId="0" applyFont="1" applyFill="1" applyBorder="1" applyAlignment="1">
      <alignment wrapText="1"/>
    </xf>
    <xf numFmtId="0" fontId="35" fillId="2" borderId="31" xfId="0" applyFont="1" applyFill="1" applyBorder="1" applyAlignment="1">
      <alignment horizontal="center" vertical="center" wrapText="1"/>
    </xf>
    <xf numFmtId="0" fontId="35" fillId="2" borderId="32" xfId="0" applyFont="1" applyFill="1" applyBorder="1" applyAlignment="1">
      <alignment horizontal="center" vertical="center" wrapText="1"/>
    </xf>
    <xf numFmtId="0" fontId="35" fillId="2" borderId="34" xfId="0" applyFont="1" applyFill="1" applyBorder="1" applyAlignment="1">
      <alignment horizontal="center" vertical="center" wrapText="1"/>
    </xf>
    <xf numFmtId="0" fontId="35" fillId="15" borderId="31" xfId="0" applyFont="1" applyFill="1" applyBorder="1"/>
    <xf numFmtId="0" fontId="36" fillId="11" borderId="0" xfId="0" applyFont="1" applyFill="1"/>
    <xf numFmtId="0" fontId="34" fillId="11" borderId="0" xfId="0" applyFont="1" applyFill="1"/>
    <xf numFmtId="0" fontId="21" fillId="0" borderId="0" xfId="4" applyFont="1"/>
    <xf numFmtId="0" fontId="21" fillId="0" borderId="0" xfId="4" applyFont="1" applyAlignment="1">
      <alignment horizontal="right"/>
    </xf>
    <xf numFmtId="169" fontId="21" fillId="0" borderId="0" xfId="4" applyNumberFormat="1" applyFont="1"/>
    <xf numFmtId="165" fontId="21" fillId="0" borderId="0" xfId="4" applyNumberFormat="1" applyFont="1"/>
    <xf numFmtId="169" fontId="21" fillId="0" borderId="0" xfId="5" applyNumberFormat="1" applyFont="1"/>
    <xf numFmtId="171" fontId="21" fillId="0" borderId="0" xfId="1" applyNumberFormat="1" applyFont="1"/>
    <xf numFmtId="43" fontId="21" fillId="0" borderId="0" xfId="1" applyFont="1"/>
    <xf numFmtId="2" fontId="21" fillId="0" borderId="0" xfId="4" applyNumberFormat="1" applyFont="1"/>
    <xf numFmtId="1" fontId="21" fillId="0" borderId="0" xfId="4" applyNumberFormat="1" applyFont="1"/>
    <xf numFmtId="0" fontId="21" fillId="0" borderId="0" xfId="4" applyFont="1" applyAlignment="1">
      <alignment horizontal="center"/>
    </xf>
    <xf numFmtId="0" fontId="21" fillId="0" borderId="0" xfId="4" applyFont="1" applyAlignment="1">
      <alignment horizontal="center" wrapText="1"/>
    </xf>
    <xf numFmtId="8" fontId="21" fillId="0" borderId="0" xfId="4" applyNumberFormat="1" applyFont="1"/>
    <xf numFmtId="6" fontId="21" fillId="0" borderId="0" xfId="4" applyNumberFormat="1" applyFont="1"/>
    <xf numFmtId="6" fontId="38" fillId="0" borderId="0" xfId="6" applyNumberFormat="1" applyFont="1"/>
    <xf numFmtId="167" fontId="21" fillId="0" borderId="0" xfId="3" applyNumberFormat="1" applyFont="1"/>
    <xf numFmtId="9" fontId="21" fillId="0" borderId="0" xfId="4" applyNumberFormat="1" applyFont="1"/>
    <xf numFmtId="9" fontId="21" fillId="0" borderId="0" xfId="3" applyFont="1"/>
    <xf numFmtId="3" fontId="21" fillId="0" borderId="0" xfId="6" applyFont="1"/>
    <xf numFmtId="1" fontId="21" fillId="0" borderId="0" xfId="7" applyNumberFormat="1" applyFont="1"/>
    <xf numFmtId="10" fontId="21" fillId="0" borderId="0" xfId="8" applyNumberFormat="1" applyFont="1"/>
    <xf numFmtId="10" fontId="21" fillId="0" borderId="0" xfId="4" applyNumberFormat="1" applyFont="1"/>
    <xf numFmtId="0" fontId="25" fillId="0" borderId="0" xfId="4" applyFont="1" applyBorder="1" applyAlignment="1">
      <alignment horizontal="left" indent="1"/>
    </xf>
    <xf numFmtId="173" fontId="25" fillId="0" borderId="0" xfId="4" applyNumberFormat="1" applyFont="1" applyBorder="1" applyAlignment="1">
      <alignment horizontal="center"/>
    </xf>
    <xf numFmtId="9" fontId="21" fillId="0" borderId="0" xfId="8" applyFont="1" applyAlignment="1">
      <alignment horizontal="center"/>
    </xf>
    <xf numFmtId="174" fontId="25" fillId="0" borderId="0" xfId="4" applyNumberFormat="1" applyFont="1" applyBorder="1" applyAlignment="1">
      <alignment horizontal="center"/>
    </xf>
    <xf numFmtId="0" fontId="25" fillId="0" borderId="13" xfId="4" applyFont="1" applyBorder="1" applyAlignment="1">
      <alignment horizontal="left"/>
    </xf>
    <xf numFmtId="0" fontId="25" fillId="0" borderId="0" xfId="4" applyFont="1" applyBorder="1" applyAlignment="1">
      <alignment horizontal="left"/>
    </xf>
    <xf numFmtId="0" fontId="25" fillId="0" borderId="0" xfId="4" applyFont="1" applyBorder="1" applyAlignment="1">
      <alignment horizontal="center"/>
    </xf>
    <xf numFmtId="0" fontId="39" fillId="0" borderId="0" xfId="4" applyFont="1" applyBorder="1" applyAlignment="1">
      <alignment horizontal="left"/>
    </xf>
    <xf numFmtId="168" fontId="21" fillId="0" borderId="0" xfId="2" applyNumberFormat="1" applyFont="1"/>
    <xf numFmtId="0" fontId="25" fillId="0" borderId="0" xfId="9" applyFont="1" applyBorder="1" applyAlignment="1">
      <alignment horizontal="left" indent="1"/>
    </xf>
    <xf numFmtId="175" fontId="21" fillId="0" borderId="0" xfId="2" applyNumberFormat="1" applyFont="1"/>
    <xf numFmtId="44" fontId="21" fillId="0" borderId="0" xfId="2" applyFont="1"/>
    <xf numFmtId="0" fontId="39" fillId="0" borderId="0" xfId="4" applyFont="1" applyBorder="1" applyAlignment="1">
      <alignment horizontal="left" indent="1"/>
    </xf>
    <xf numFmtId="44" fontId="25" fillId="0" borderId="0" xfId="2" applyFont="1"/>
    <xf numFmtId="0" fontId="25" fillId="0" borderId="0" xfId="9" applyFont="1" applyBorder="1" applyAlignment="1">
      <alignment horizontal="left"/>
    </xf>
    <xf numFmtId="0" fontId="21" fillId="0" borderId="0" xfId="0" applyFont="1"/>
    <xf numFmtId="176" fontId="21" fillId="0" borderId="0" xfId="2" applyNumberFormat="1" applyFont="1"/>
    <xf numFmtId="2" fontId="21" fillId="0" borderId="0" xfId="1" applyNumberFormat="1" applyFont="1"/>
    <xf numFmtId="165" fontId="21" fillId="0" borderId="0" xfId="6" applyNumberFormat="1" applyFont="1"/>
    <xf numFmtId="168" fontId="21" fillId="0" borderId="0" xfId="4" applyNumberFormat="1" applyFont="1"/>
    <xf numFmtId="1" fontId="25" fillId="3" borderId="1" xfId="1" applyNumberFormat="1" applyFont="1" applyFill="1" applyBorder="1" applyAlignment="1">
      <alignment horizontal="center"/>
    </xf>
    <xf numFmtId="0" fontId="26" fillId="0" borderId="0" xfId="4" applyFont="1"/>
    <xf numFmtId="0" fontId="25" fillId="0" borderId="0" xfId="4" applyFont="1" applyBorder="1"/>
    <xf numFmtId="0" fontId="25" fillId="0" borderId="0" xfId="0" applyFont="1" applyBorder="1" applyAlignment="1">
      <alignment horizontal="center" wrapText="1"/>
    </xf>
    <xf numFmtId="0" fontId="40" fillId="0" borderId="0" xfId="4" applyFont="1" applyBorder="1"/>
    <xf numFmtId="2" fontId="25" fillId="0" borderId="0" xfId="0" applyNumberFormat="1" applyFont="1" applyBorder="1" applyAlignment="1">
      <alignment horizontal="center" wrapText="1"/>
    </xf>
    <xf numFmtId="0" fontId="25" fillId="0" borderId="0" xfId="0" applyFont="1" applyBorder="1" applyAlignment="1">
      <alignment horizontal="left" indent="1"/>
    </xf>
    <xf numFmtId="9" fontId="25" fillId="0" borderId="0" xfId="3" applyFont="1" applyBorder="1" applyAlignment="1">
      <alignment horizontal="center"/>
    </xf>
    <xf numFmtId="164" fontId="25" fillId="0" borderId="0" xfId="1" applyNumberFormat="1" applyFont="1" applyBorder="1"/>
    <xf numFmtId="43" fontId="25" fillId="0" borderId="0" xfId="1" applyNumberFormat="1" applyFont="1" applyBorder="1"/>
    <xf numFmtId="0" fontId="40" fillId="0" borderId="0" xfId="4" applyFont="1" applyBorder="1" applyAlignment="1">
      <alignment horizontal="left"/>
    </xf>
    <xf numFmtId="9" fontId="25" fillId="0" borderId="0" xfId="4" applyNumberFormat="1" applyFont="1" applyBorder="1" applyAlignment="1">
      <alignment horizontal="center"/>
    </xf>
    <xf numFmtId="164" fontId="25" fillId="0" borderId="0" xfId="1" applyNumberFormat="1" applyFont="1" applyBorder="1" applyAlignment="1">
      <alignment horizontal="center"/>
    </xf>
    <xf numFmtId="0" fontId="21" fillId="0" borderId="0" xfId="4" applyFont="1" applyBorder="1"/>
    <xf numFmtId="1" fontId="25" fillId="3" borderId="0" xfId="1" applyNumberFormat="1" applyFont="1" applyFill="1" applyBorder="1" applyAlignment="1">
      <alignment horizontal="center"/>
    </xf>
    <xf numFmtId="166" fontId="25" fillId="0" borderId="0" xfId="1" applyNumberFormat="1" applyFont="1" applyBorder="1"/>
    <xf numFmtId="0" fontId="25" fillId="14" borderId="0" xfId="4" applyFont="1" applyFill="1" applyBorder="1" applyAlignment="1">
      <alignment horizontal="right"/>
    </xf>
    <xf numFmtId="0" fontId="25" fillId="14" borderId="0" xfId="4" applyFont="1" applyFill="1" applyBorder="1" applyAlignment="1">
      <alignment horizontal="center"/>
    </xf>
    <xf numFmtId="0" fontId="40" fillId="0" borderId="0" xfId="0" applyFont="1" applyBorder="1"/>
    <xf numFmtId="0" fontId="25" fillId="0" borderId="0" xfId="0" applyFont="1" applyBorder="1"/>
    <xf numFmtId="0" fontId="25" fillId="0" borderId="0" xfId="4" applyFont="1" applyFill="1" applyBorder="1" applyAlignment="1">
      <alignment horizontal="left"/>
    </xf>
    <xf numFmtId="0" fontId="25" fillId="0" borderId="0" xfId="4" applyFont="1" applyFill="1" applyBorder="1" applyAlignment="1">
      <alignment horizontal="center"/>
    </xf>
    <xf numFmtId="168" fontId="25" fillId="0" borderId="0" xfId="2" applyNumberFormat="1" applyFont="1" applyFill="1" applyBorder="1" applyAlignment="1">
      <alignment horizontal="right"/>
    </xf>
    <xf numFmtId="0" fontId="25" fillId="0" borderId="0" xfId="4" applyFont="1" applyFill="1" applyBorder="1" applyAlignment="1">
      <alignment horizontal="left" indent="1"/>
    </xf>
    <xf numFmtId="164" fontId="25" fillId="0" borderId="0" xfId="1" applyNumberFormat="1" applyFont="1" applyFill="1" applyBorder="1" applyAlignment="1">
      <alignment horizontal="center"/>
    </xf>
    <xf numFmtId="168" fontId="25" fillId="3" borderId="0" xfId="2" applyNumberFormat="1" applyFont="1" applyFill="1" applyBorder="1" applyAlignment="1">
      <alignment horizontal="right"/>
    </xf>
    <xf numFmtId="168" fontId="25" fillId="0" borderId="0" xfId="2" applyNumberFormat="1" applyFont="1" applyBorder="1"/>
    <xf numFmtId="0" fontId="25" fillId="0" borderId="0" xfId="4" applyFont="1" applyBorder="1" applyAlignment="1">
      <alignment horizontal="left" indent="2"/>
    </xf>
    <xf numFmtId="168" fontId="25" fillId="3" borderId="0" xfId="2" applyNumberFormat="1" applyFont="1" applyFill="1" applyBorder="1"/>
    <xf numFmtId="168" fontId="25" fillId="0" borderId="0" xfId="2" applyNumberFormat="1" applyFont="1" applyBorder="1" applyAlignment="1">
      <alignment horizontal="center"/>
    </xf>
    <xf numFmtId="2" fontId="25" fillId="0" borderId="0" xfId="4" applyNumberFormat="1" applyFont="1" applyBorder="1" applyAlignment="1">
      <alignment horizontal="center"/>
    </xf>
    <xf numFmtId="3" fontId="25" fillId="3" borderId="0" xfId="1" applyNumberFormat="1" applyFont="1" applyFill="1" applyBorder="1" applyAlignment="1">
      <alignment horizontal="center"/>
    </xf>
    <xf numFmtId="1" fontId="25" fillId="0" borderId="0" xfId="2" applyNumberFormat="1" applyFont="1" applyFill="1" applyBorder="1" applyAlignment="1">
      <alignment horizontal="center"/>
    </xf>
    <xf numFmtId="9" fontId="25" fillId="0" borderId="0" xfId="3" applyFont="1" applyFill="1" applyBorder="1" applyAlignment="1">
      <alignment horizontal="center"/>
    </xf>
    <xf numFmtId="168" fontId="25" fillId="0" borderId="0" xfId="2" applyNumberFormat="1" applyFont="1" applyFill="1" applyBorder="1"/>
    <xf numFmtId="0" fontId="40" fillId="0" borderId="0" xfId="4" applyFont="1" applyBorder="1" applyAlignment="1">
      <alignment horizontal="center"/>
    </xf>
    <xf numFmtId="168" fontId="25" fillId="0" borderId="0" xfId="2" applyNumberFormat="1" applyFont="1" applyBorder="1" applyAlignment="1">
      <alignment horizontal="right"/>
    </xf>
    <xf numFmtId="168" fontId="25" fillId="0" borderId="0" xfId="1" applyNumberFormat="1" applyFont="1" applyBorder="1" applyAlignment="1">
      <alignment horizontal="right"/>
    </xf>
    <xf numFmtId="0" fontId="40" fillId="0" borderId="0" xfId="4" applyFont="1" applyBorder="1" applyAlignment="1">
      <alignment horizontal="left" indent="1"/>
    </xf>
    <xf numFmtId="174" fontId="40" fillId="0" borderId="0" xfId="4" applyNumberFormat="1" applyFont="1" applyBorder="1" applyAlignment="1">
      <alignment horizontal="center"/>
    </xf>
    <xf numFmtId="168" fontId="40" fillId="0" borderId="0" xfId="1" applyNumberFormat="1" applyFont="1" applyBorder="1" applyAlignment="1">
      <alignment horizontal="right"/>
    </xf>
    <xf numFmtId="2" fontId="25" fillId="0" borderId="0" xfId="1" applyNumberFormat="1" applyFont="1" applyBorder="1" applyAlignment="1">
      <alignment horizontal="center"/>
    </xf>
    <xf numFmtId="0" fontId="25" fillId="0" borderId="0" xfId="4" applyFont="1" applyBorder="1" applyAlignment="1">
      <alignment horizontal="left" indent="3"/>
    </xf>
    <xf numFmtId="43" fontId="25" fillId="0" borderId="0" xfId="1" applyFont="1" applyFill="1" applyBorder="1" applyAlignment="1">
      <alignment horizontal="center"/>
    </xf>
    <xf numFmtId="43" fontId="25" fillId="0" borderId="0" xfId="1" applyFont="1" applyBorder="1" applyAlignment="1">
      <alignment horizontal="center"/>
    </xf>
    <xf numFmtId="2" fontId="25" fillId="3" borderId="0" xfId="1" applyNumberFormat="1" applyFont="1" applyFill="1" applyBorder="1" applyAlignment="1">
      <alignment horizontal="center"/>
    </xf>
    <xf numFmtId="6" fontId="25" fillId="0" borderId="0" xfId="4" applyNumberFormat="1" applyFont="1" applyBorder="1" applyAlignment="1">
      <alignment horizontal="center"/>
    </xf>
    <xf numFmtId="168" fontId="25" fillId="0" borderId="0" xfId="2" applyNumberFormat="1" applyFont="1" applyBorder="1" applyAlignment="1"/>
    <xf numFmtId="0" fontId="25" fillId="0" borderId="0" xfId="4" applyFont="1" applyBorder="1" applyAlignment="1">
      <alignment horizontal="left" wrapText="1"/>
    </xf>
    <xf numFmtId="170" fontId="40" fillId="0" borderId="0" xfId="1" applyNumberFormat="1" applyFont="1" applyBorder="1" applyAlignment="1">
      <alignment horizontal="right"/>
    </xf>
    <xf numFmtId="9" fontId="21" fillId="11" borderId="0" xfId="3" applyFont="1" applyFill="1"/>
    <xf numFmtId="0" fontId="25" fillId="0" borderId="0" xfId="4" applyFont="1"/>
    <xf numFmtId="0" fontId="25" fillId="0" borderId="0" xfId="4" applyFont="1" applyAlignment="1">
      <alignment horizontal="center"/>
    </xf>
    <xf numFmtId="164" fontId="25" fillId="0" borderId="0" xfId="4" applyNumberFormat="1" applyFont="1" applyAlignment="1">
      <alignment horizontal="center"/>
    </xf>
    <xf numFmtId="168" fontId="25" fillId="0" borderId="0" xfId="4" applyNumberFormat="1" applyFont="1" applyAlignment="1">
      <alignment horizontal="center"/>
    </xf>
    <xf numFmtId="168" fontId="25" fillId="0" borderId="0" xfId="2" applyNumberFormat="1" applyFont="1"/>
    <xf numFmtId="168" fontId="25" fillId="0" borderId="0" xfId="4" applyNumberFormat="1" applyFont="1"/>
    <xf numFmtId="44" fontId="21" fillId="0" borderId="0" xfId="4" applyNumberFormat="1" applyFont="1"/>
    <xf numFmtId="0" fontId="22" fillId="0" borderId="0" xfId="0" applyFont="1"/>
    <xf numFmtId="0" fontId="21" fillId="11" borderId="1" xfId="0" applyFont="1" applyFill="1" applyBorder="1"/>
    <xf numFmtId="0" fontId="21" fillId="0" borderId="1" xfId="0" applyFont="1" applyBorder="1"/>
    <xf numFmtId="8" fontId="21" fillId="0" borderId="1" xfId="0" applyNumberFormat="1" applyFont="1" applyBorder="1"/>
    <xf numFmtId="6" fontId="21" fillId="0" borderId="1" xfId="0" applyNumberFormat="1" applyFont="1" applyBorder="1"/>
    <xf numFmtId="0" fontId="31" fillId="0" borderId="0" xfId="0" applyFont="1"/>
    <xf numFmtId="0" fontId="26" fillId="0" borderId="0" xfId="0" applyFont="1"/>
    <xf numFmtId="0" fontId="26" fillId="0" borderId="0" xfId="0" applyFont="1" applyFill="1" applyBorder="1"/>
    <xf numFmtId="0" fontId="26" fillId="0" borderId="0" xfId="0" applyFont="1" applyBorder="1"/>
    <xf numFmtId="0" fontId="21" fillId="0" borderId="2" xfId="0" applyFont="1" applyBorder="1"/>
    <xf numFmtId="0" fontId="21" fillId="0" borderId="1" xfId="0" applyFont="1" applyFill="1" applyBorder="1"/>
    <xf numFmtId="9" fontId="21" fillId="0" borderId="0" xfId="0" applyNumberFormat="1" applyFont="1" applyFill="1" applyBorder="1"/>
    <xf numFmtId="9" fontId="30" fillId="0" borderId="1" xfId="0" applyNumberFormat="1" applyFont="1" applyFill="1" applyBorder="1"/>
    <xf numFmtId="0" fontId="30" fillId="0" borderId="1" xfId="0" applyFont="1" applyFill="1" applyBorder="1"/>
    <xf numFmtId="9" fontId="21" fillId="0" borderId="1" xfId="0" applyNumberFormat="1" applyFont="1" applyFill="1" applyBorder="1"/>
    <xf numFmtId="0" fontId="30" fillId="0" borderId="1" xfId="0" applyFont="1" applyBorder="1"/>
    <xf numFmtId="0" fontId="21" fillId="0" borderId="0" xfId="0" applyFont="1" applyBorder="1"/>
    <xf numFmtId="0" fontId="21" fillId="3" borderId="1" xfId="0" applyFont="1" applyFill="1" applyBorder="1"/>
    <xf numFmtId="0" fontId="21" fillId="3" borderId="0" xfId="0" applyFont="1" applyFill="1" applyBorder="1" applyAlignment="1">
      <alignment horizontal="center"/>
    </xf>
    <xf numFmtId="0" fontId="21" fillId="6" borderId="1" xfId="0" applyFont="1" applyFill="1" applyBorder="1"/>
    <xf numFmtId="2" fontId="21" fillId="0" borderId="1" xfId="0" applyNumberFormat="1" applyFont="1" applyFill="1" applyBorder="1"/>
    <xf numFmtId="164" fontId="21" fillId="3" borderId="1" xfId="1" applyNumberFormat="1" applyFont="1" applyFill="1" applyBorder="1"/>
    <xf numFmtId="0" fontId="21" fillId="3" borderId="1" xfId="0" applyFont="1" applyFill="1" applyBorder="1" applyAlignment="1">
      <alignment wrapText="1"/>
    </xf>
    <xf numFmtId="0" fontId="32" fillId="3" borderId="1" xfId="4" applyFont="1" applyFill="1" applyBorder="1" applyAlignment="1">
      <alignment wrapText="1"/>
    </xf>
    <xf numFmtId="1" fontId="21" fillId="0" borderId="1" xfId="0" applyNumberFormat="1" applyFont="1" applyFill="1" applyBorder="1"/>
    <xf numFmtId="1" fontId="21" fillId="0" borderId="1" xfId="0" applyNumberFormat="1" applyFont="1" applyFill="1" applyBorder="1" applyAlignment="1">
      <alignment horizontal="center"/>
    </xf>
    <xf numFmtId="165" fontId="21" fillId="0" borderId="1" xfId="0" applyNumberFormat="1" applyFont="1" applyFill="1" applyBorder="1"/>
    <xf numFmtId="0" fontId="21" fillId="8" borderId="1" xfId="0" applyFont="1" applyFill="1" applyBorder="1"/>
    <xf numFmtId="44" fontId="21" fillId="0" borderId="1" xfId="2" applyFont="1" applyBorder="1" applyAlignment="1">
      <alignment horizontal="center"/>
    </xf>
    <xf numFmtId="44" fontId="21" fillId="0" borderId="0" xfId="2" applyFont="1" applyBorder="1"/>
    <xf numFmtId="0" fontId="31" fillId="0" borderId="0" xfId="0" applyFont="1" applyBorder="1"/>
    <xf numFmtId="0" fontId="21" fillId="0" borderId="0" xfId="0" applyFont="1" applyBorder="1" applyAlignment="1">
      <alignment wrapText="1"/>
    </xf>
    <xf numFmtId="0" fontId="21" fillId="11" borderId="0" xfId="0" applyFont="1" applyFill="1" applyBorder="1" applyAlignment="1">
      <alignment horizontal="left" wrapText="1" indent="1"/>
    </xf>
    <xf numFmtId="0" fontId="21" fillId="11" borderId="0" xfId="0" applyFont="1" applyFill="1" applyBorder="1"/>
    <xf numFmtId="0" fontId="21" fillId="3" borderId="1" xfId="0" applyFont="1" applyFill="1" applyBorder="1" applyAlignment="1">
      <alignment horizontal="center" wrapText="1"/>
    </xf>
    <xf numFmtId="0" fontId="21" fillId="3" borderId="1" xfId="0" applyFont="1" applyFill="1" applyBorder="1" applyAlignment="1">
      <alignment horizontal="center"/>
    </xf>
    <xf numFmtId="0" fontId="21" fillId="0" borderId="0" xfId="0" applyFont="1" applyFill="1" applyBorder="1" applyAlignment="1">
      <alignment horizontal="center"/>
    </xf>
    <xf numFmtId="165" fontId="21" fillId="0" borderId="1" xfId="0" applyNumberFormat="1" applyFont="1" applyBorder="1" applyAlignment="1">
      <alignment horizontal="center"/>
    </xf>
    <xf numFmtId="0" fontId="21" fillId="0" borderId="0" xfId="0" applyFont="1" applyFill="1" applyBorder="1" applyAlignment="1">
      <alignment vertical="center" wrapText="1"/>
    </xf>
    <xf numFmtId="44" fontId="21" fillId="0" borderId="0" xfId="2" applyFont="1" applyFill="1" applyBorder="1" applyAlignment="1">
      <alignment horizontal="center"/>
    </xf>
    <xf numFmtId="1" fontId="21" fillId="0" borderId="0" xfId="0" applyNumberFormat="1" applyFont="1" applyBorder="1" applyAlignment="1">
      <alignment horizontal="center"/>
    </xf>
    <xf numFmtId="1" fontId="21" fillId="0" borderId="1" xfId="0" applyNumberFormat="1" applyFont="1" applyBorder="1" applyAlignment="1">
      <alignment horizontal="center"/>
    </xf>
    <xf numFmtId="0" fontId="21" fillId="0" borderId="0" xfId="0" applyFont="1" applyFill="1" applyBorder="1" applyAlignment="1">
      <alignment horizontal="center" vertical="center" wrapText="1"/>
    </xf>
    <xf numFmtId="44" fontId="21" fillId="0" borderId="0" xfId="2" applyFont="1" applyFill="1" applyBorder="1" applyAlignment="1">
      <alignment horizontal="center" vertical="center"/>
    </xf>
    <xf numFmtId="0" fontId="21" fillId="0" borderId="0" xfId="0" applyFont="1" applyFill="1" applyBorder="1" applyAlignment="1">
      <alignment horizontal="center" wrapText="1"/>
    </xf>
    <xf numFmtId="44" fontId="21" fillId="0" borderId="0" xfId="0" applyNumberFormat="1" applyFont="1" applyFill="1" applyBorder="1" applyAlignment="1">
      <alignment horizontal="center"/>
    </xf>
    <xf numFmtId="1" fontId="21" fillId="0" borderId="0" xfId="0" applyNumberFormat="1" applyFont="1" applyBorder="1"/>
    <xf numFmtId="9" fontId="21" fillId="0" borderId="0" xfId="3" applyFont="1" applyBorder="1"/>
    <xf numFmtId="0" fontId="21" fillId="0" borderId="0" xfId="0" applyFont="1" applyFill="1"/>
    <xf numFmtId="166" fontId="21" fillId="0" borderId="1" xfId="1" applyNumberFormat="1" applyFont="1" applyFill="1" applyBorder="1"/>
    <xf numFmtId="43" fontId="21" fillId="0" borderId="1" xfId="1" applyNumberFormat="1" applyFont="1" applyFill="1" applyBorder="1"/>
    <xf numFmtId="0" fontId="21" fillId="12" borderId="1" xfId="0" applyFont="1" applyFill="1" applyBorder="1" applyAlignment="1">
      <alignment horizontal="left" vertical="top" wrapText="1"/>
    </xf>
    <xf numFmtId="170" fontId="21" fillId="0" borderId="1" xfId="2" applyNumberFormat="1" applyFont="1" applyFill="1" applyBorder="1" applyAlignment="1">
      <alignment horizontal="center"/>
    </xf>
    <xf numFmtId="170" fontId="21" fillId="0" borderId="1" xfId="2" applyNumberFormat="1" applyFont="1" applyFill="1" applyBorder="1" applyAlignment="1">
      <alignment horizontal="center" vertical="center"/>
    </xf>
    <xf numFmtId="170" fontId="21" fillId="0" borderId="1" xfId="0" applyNumberFormat="1" applyFont="1" applyFill="1" applyBorder="1" applyAlignment="1">
      <alignment horizontal="center"/>
    </xf>
    <xf numFmtId="164" fontId="41" fillId="16" borderId="34" xfId="1" applyNumberFormat="1" applyFont="1" applyFill="1" applyBorder="1"/>
    <xf numFmtId="164" fontId="41" fillId="16" borderId="32" xfId="1" applyNumberFormat="1" applyFont="1" applyFill="1" applyBorder="1"/>
    <xf numFmtId="164" fontId="41" fillId="16" borderId="31" xfId="1" applyNumberFormat="1" applyFont="1" applyFill="1" applyBorder="1"/>
    <xf numFmtId="0" fontId="37" fillId="16" borderId="0" xfId="0" applyFont="1" applyFill="1" applyBorder="1"/>
    <xf numFmtId="0" fontId="37" fillId="16" borderId="36" xfId="0" applyFont="1" applyFill="1" applyBorder="1"/>
    <xf numFmtId="0" fontId="37" fillId="16" borderId="32" xfId="0" applyFont="1" applyFill="1" applyBorder="1"/>
    <xf numFmtId="168" fontId="41" fillId="16" borderId="34" xfId="2" applyNumberFormat="1" applyFont="1" applyFill="1" applyBorder="1"/>
    <xf numFmtId="168" fontId="41" fillId="16" borderId="32" xfId="2" applyNumberFormat="1" applyFont="1" applyFill="1" applyBorder="1"/>
    <xf numFmtId="168" fontId="41" fillId="16" borderId="31" xfId="2" applyNumberFormat="1" applyFont="1" applyFill="1" applyBorder="1"/>
    <xf numFmtId="0" fontId="41" fillId="7" borderId="0" xfId="0" applyFont="1" applyFill="1"/>
    <xf numFmtId="0" fontId="37" fillId="7" borderId="0" xfId="0" applyFont="1" applyFill="1"/>
    <xf numFmtId="0" fontId="35" fillId="2" borderId="31" xfId="0" applyFont="1" applyFill="1" applyBorder="1"/>
    <xf numFmtId="0" fontId="41" fillId="12" borderId="31" xfId="0" applyFont="1" applyFill="1" applyBorder="1"/>
    <xf numFmtId="0" fontId="42" fillId="7" borderId="31" xfId="0" applyFont="1" applyFill="1" applyBorder="1"/>
    <xf numFmtId="0" fontId="35" fillId="2" borderId="0" xfId="0" applyFont="1" applyFill="1" applyBorder="1"/>
    <xf numFmtId="168" fontId="41" fillId="16" borderId="32" xfId="0" applyNumberFormat="1" applyFont="1" applyFill="1" applyBorder="1"/>
    <xf numFmtId="44" fontId="41" fillId="16" borderId="32" xfId="0" applyNumberFormat="1" applyFont="1" applyFill="1" applyBorder="1"/>
    <xf numFmtId="0" fontId="35" fillId="2" borderId="33" xfId="0" applyFont="1" applyFill="1" applyBorder="1"/>
    <xf numFmtId="168" fontId="41" fillId="16" borderId="34" xfId="0" applyNumberFormat="1" applyFont="1" applyFill="1" applyBorder="1"/>
    <xf numFmtId="44" fontId="41" fillId="16" borderId="34" xfId="0" applyNumberFormat="1" applyFont="1" applyFill="1" applyBorder="1"/>
    <xf numFmtId="0" fontId="35" fillId="2" borderId="37" xfId="0" applyFont="1" applyFill="1" applyBorder="1"/>
    <xf numFmtId="164" fontId="41" fillId="16" borderId="36" xfId="1" applyNumberFormat="1" applyFont="1" applyFill="1" applyBorder="1"/>
    <xf numFmtId="0" fontId="35" fillId="2" borderId="38" xfId="0" applyFont="1" applyFill="1" applyBorder="1"/>
    <xf numFmtId="168" fontId="41" fillId="16" borderId="36" xfId="0" applyNumberFormat="1" applyFont="1" applyFill="1" applyBorder="1"/>
    <xf numFmtId="44" fontId="41" fillId="16" borderId="36" xfId="0" applyNumberFormat="1" applyFont="1" applyFill="1" applyBorder="1"/>
    <xf numFmtId="0" fontId="35" fillId="15" borderId="34" xfId="0" applyFont="1" applyFill="1" applyBorder="1" applyAlignment="1">
      <alignment horizontal="center" vertical="center"/>
    </xf>
    <xf numFmtId="0" fontId="41" fillId="12" borderId="34" xfId="0" applyFont="1" applyFill="1" applyBorder="1"/>
    <xf numFmtId="168" fontId="41" fillId="16" borderId="36" xfId="2" applyNumberFormat="1" applyFont="1" applyFill="1" applyBorder="1"/>
    <xf numFmtId="0" fontId="35" fillId="15" borderId="34" xfId="0" applyFont="1" applyFill="1" applyBorder="1" applyAlignment="1">
      <alignment horizontal="center" vertical="center" wrapText="1"/>
    </xf>
    <xf numFmtId="0" fontId="41" fillId="12" borderId="34" xfId="0" applyFont="1" applyFill="1" applyBorder="1" applyAlignment="1">
      <alignment wrapText="1"/>
    </xf>
    <xf numFmtId="0" fontId="37" fillId="12" borderId="34" xfId="0" applyFont="1" applyFill="1" applyBorder="1" applyAlignment="1">
      <alignment wrapText="1"/>
    </xf>
    <xf numFmtId="0" fontId="35" fillId="15" borderId="32" xfId="0" applyFont="1" applyFill="1" applyBorder="1"/>
    <xf numFmtId="0" fontId="35" fillId="15" borderId="34" xfId="0" applyFont="1" applyFill="1" applyBorder="1" applyAlignment="1">
      <alignment wrapText="1"/>
    </xf>
    <xf numFmtId="0" fontId="43" fillId="11" borderId="0" xfId="0" applyFont="1" applyFill="1"/>
    <xf numFmtId="0" fontId="37" fillId="11" borderId="0" xfId="0" applyFont="1" applyFill="1"/>
    <xf numFmtId="0" fontId="41" fillId="11" borderId="0" xfId="0" applyFont="1" applyFill="1"/>
    <xf numFmtId="0" fontId="38" fillId="7" borderId="0" xfId="0" applyFont="1" applyFill="1" applyBorder="1" applyAlignment="1"/>
    <xf numFmtId="0" fontId="38" fillId="0" borderId="0" xfId="0" applyFont="1" applyFill="1" applyBorder="1" applyAlignment="1"/>
    <xf numFmtId="0" fontId="44" fillId="7" borderId="0" xfId="0" applyFont="1" applyFill="1"/>
    <xf numFmtId="0" fontId="45" fillId="7" borderId="0" xfId="0" applyFont="1" applyFill="1" applyAlignment="1">
      <alignment horizontal="right"/>
    </xf>
    <xf numFmtId="0" fontId="46" fillId="7" borderId="0" xfId="0" applyFont="1" applyFill="1"/>
    <xf numFmtId="0" fontId="45" fillId="7" borderId="0" xfId="0" applyFont="1" applyFill="1"/>
    <xf numFmtId="0" fontId="45" fillId="7" borderId="24" xfId="0" applyFont="1" applyFill="1" applyBorder="1" applyAlignment="1">
      <alignment horizontal="center" vertical="center"/>
    </xf>
    <xf numFmtId="0" fontId="45" fillId="7" borderId="23" xfId="0" applyFont="1" applyFill="1" applyBorder="1" applyAlignment="1">
      <alignment horizontal="center" vertical="center" wrapText="1"/>
    </xf>
    <xf numFmtId="0" fontId="45" fillId="7" borderId="15" xfId="0" applyFont="1" applyFill="1" applyBorder="1" applyAlignment="1">
      <alignment horizontal="center" vertical="center" wrapText="1"/>
    </xf>
    <xf numFmtId="0" fontId="45" fillId="7" borderId="16" xfId="0" applyFont="1" applyFill="1" applyBorder="1" applyAlignment="1">
      <alignment horizontal="center" vertical="center" wrapText="1"/>
    </xf>
    <xf numFmtId="0" fontId="44" fillId="7" borderId="19" xfId="0" applyFont="1" applyFill="1" applyBorder="1"/>
    <xf numFmtId="166" fontId="44" fillId="7" borderId="12" xfId="1" applyNumberFormat="1" applyFont="1" applyFill="1" applyBorder="1"/>
    <xf numFmtId="0" fontId="44" fillId="7" borderId="18" xfId="0" applyFont="1" applyFill="1" applyBorder="1"/>
    <xf numFmtId="164" fontId="44" fillId="7" borderId="7" xfId="1" applyNumberFormat="1" applyFont="1" applyFill="1" applyBorder="1"/>
    <xf numFmtId="164" fontId="44" fillId="7" borderId="27" xfId="1" applyNumberFormat="1" applyFont="1" applyFill="1" applyBorder="1"/>
    <xf numFmtId="164" fontId="44" fillId="7" borderId="6" xfId="1" applyNumberFormat="1" applyFont="1" applyFill="1" applyBorder="1"/>
    <xf numFmtId="0" fontId="44" fillId="7" borderId="25" xfId="0" applyFont="1" applyFill="1" applyBorder="1"/>
    <xf numFmtId="164" fontId="44" fillId="7" borderId="10" xfId="1" applyNumberFormat="1" applyFont="1" applyFill="1" applyBorder="1"/>
    <xf numFmtId="164" fontId="44" fillId="7" borderId="28" xfId="1" applyNumberFormat="1" applyFont="1" applyFill="1" applyBorder="1"/>
    <xf numFmtId="164" fontId="44" fillId="7" borderId="11" xfId="1" applyNumberFormat="1" applyFont="1" applyFill="1" applyBorder="1"/>
    <xf numFmtId="0" fontId="45" fillId="7" borderId="18" xfId="0" applyFont="1" applyFill="1" applyBorder="1"/>
    <xf numFmtId="0" fontId="45" fillId="7" borderId="8" xfId="0" applyFont="1" applyFill="1" applyBorder="1"/>
    <xf numFmtId="0" fontId="45" fillId="7" borderId="3" xfId="0" applyFont="1" applyFill="1" applyBorder="1"/>
    <xf numFmtId="0" fontId="45" fillId="7" borderId="4" xfId="0" applyFont="1" applyFill="1" applyBorder="1"/>
    <xf numFmtId="168" fontId="44" fillId="7" borderId="12" xfId="2" applyNumberFormat="1" applyFont="1" applyFill="1" applyBorder="1"/>
    <xf numFmtId="44" fontId="44" fillId="7" borderId="7" xfId="2" applyFont="1" applyFill="1" applyBorder="1"/>
    <xf numFmtId="44" fontId="44" fillId="7" borderId="7" xfId="2" applyNumberFormat="1" applyFont="1" applyFill="1" applyBorder="1"/>
    <xf numFmtId="168" fontId="44" fillId="7" borderId="10" xfId="2" applyNumberFormat="1" applyFont="1" applyFill="1" applyBorder="1"/>
    <xf numFmtId="0" fontId="44" fillId="7" borderId="26" xfId="0" applyFont="1" applyFill="1" applyBorder="1"/>
    <xf numFmtId="168" fontId="44" fillId="7" borderId="9" xfId="2" applyNumberFormat="1" applyFont="1" applyFill="1" applyBorder="1"/>
    <xf numFmtId="168" fontId="44" fillId="7" borderId="7" xfId="2" applyNumberFormat="1" applyFont="1" applyFill="1" applyBorder="1"/>
    <xf numFmtId="0" fontId="44" fillId="7" borderId="7" xfId="0" applyFont="1" applyFill="1" applyBorder="1"/>
    <xf numFmtId="44" fontId="44" fillId="7" borderId="8" xfId="2" applyNumberFormat="1" applyFont="1" applyFill="1" applyBorder="1"/>
    <xf numFmtId="0" fontId="44" fillId="7" borderId="14" xfId="0" applyFont="1" applyFill="1" applyBorder="1"/>
    <xf numFmtId="168" fontId="44" fillId="7" borderId="7" xfId="0" applyNumberFormat="1" applyFont="1" applyFill="1" applyBorder="1"/>
    <xf numFmtId="44" fontId="44" fillId="7" borderId="7" xfId="0" applyNumberFormat="1" applyFont="1" applyFill="1" applyBorder="1"/>
    <xf numFmtId="44" fontId="44" fillId="7" borderId="14" xfId="2" applyFont="1" applyFill="1" applyBorder="1"/>
    <xf numFmtId="44" fontId="44" fillId="7" borderId="0" xfId="2" applyFont="1" applyFill="1"/>
    <xf numFmtId="0" fontId="45" fillId="7" borderId="14" xfId="0" applyFont="1" applyFill="1" applyBorder="1"/>
    <xf numFmtId="44" fontId="44" fillId="7" borderId="27" xfId="0" applyNumberFormat="1" applyFont="1" applyFill="1" applyBorder="1"/>
    <xf numFmtId="44" fontId="44" fillId="7" borderId="6" xfId="0" applyNumberFormat="1" applyFont="1" applyFill="1" applyBorder="1"/>
    <xf numFmtId="0" fontId="45" fillId="7" borderId="19" xfId="0" applyFont="1" applyFill="1" applyBorder="1"/>
    <xf numFmtId="44" fontId="44" fillId="7" borderId="9" xfId="2" applyFont="1" applyFill="1" applyBorder="1"/>
    <xf numFmtId="0" fontId="38" fillId="15" borderId="39" xfId="0" applyFont="1" applyFill="1" applyBorder="1" applyAlignment="1"/>
    <xf numFmtId="0" fontId="28" fillId="15" borderId="40" xfId="0" applyFont="1" applyFill="1" applyBorder="1" applyAlignment="1">
      <alignment horizontal="left"/>
    </xf>
    <xf numFmtId="0" fontId="38" fillId="15" borderId="40" xfId="0" applyFont="1" applyFill="1" applyBorder="1" applyAlignment="1"/>
    <xf numFmtId="0" fontId="47" fillId="16" borderId="0" xfId="0" applyFont="1" applyFill="1" applyBorder="1" applyAlignment="1"/>
    <xf numFmtId="2" fontId="47" fillId="16" borderId="0" xfId="0" applyNumberFormat="1" applyFont="1" applyFill="1" applyBorder="1" applyAlignment="1"/>
    <xf numFmtId="0" fontId="48" fillId="11" borderId="0" xfId="0" applyFont="1" applyFill="1" applyAlignment="1">
      <alignment horizontal="right"/>
    </xf>
    <xf numFmtId="0" fontId="35" fillId="15" borderId="35" xfId="0" applyFont="1" applyFill="1" applyBorder="1" applyAlignment="1">
      <alignment horizontal="center" vertical="center" wrapText="1"/>
    </xf>
    <xf numFmtId="0" fontId="35" fillId="15" borderId="32" xfId="0" applyFont="1" applyFill="1" applyBorder="1" applyAlignment="1">
      <alignment horizontal="center" vertical="center" wrapText="1"/>
    </xf>
    <xf numFmtId="177" fontId="0" fillId="11" borderId="1" xfId="0" applyNumberFormat="1" applyFill="1" applyBorder="1"/>
    <xf numFmtId="164" fontId="10" fillId="11" borderId="1" xfId="4" applyNumberFormat="1" applyFont="1" applyFill="1" applyBorder="1" applyAlignment="1">
      <alignment horizontal="right"/>
    </xf>
    <xf numFmtId="173" fontId="10" fillId="11" borderId="1" xfId="2" applyNumberFormat="1" applyFont="1" applyFill="1" applyBorder="1" applyAlignment="1">
      <alignment horizontal="right"/>
    </xf>
    <xf numFmtId="173" fontId="10" fillId="11" borderId="1" xfId="4" applyNumberFormat="1" applyFont="1" applyFill="1" applyBorder="1" applyAlignment="1">
      <alignment horizontal="right"/>
    </xf>
    <xf numFmtId="177" fontId="0" fillId="11" borderId="0" xfId="0" applyNumberFormat="1" applyFill="1"/>
    <xf numFmtId="0" fontId="49" fillId="0" borderId="20" xfId="4" applyFont="1" applyBorder="1" applyAlignment="1">
      <alignment horizontal="center" vertical="center"/>
    </xf>
    <xf numFmtId="0" fontId="3" fillId="13" borderId="21" xfId="0" applyFont="1" applyFill="1" applyBorder="1" applyAlignment="1">
      <alignment horizontal="center" wrapText="1"/>
    </xf>
    <xf numFmtId="0" fontId="3" fillId="5" borderId="21" xfId="0" applyFont="1" applyFill="1" applyBorder="1" applyAlignment="1">
      <alignment horizontal="center" wrapText="1"/>
    </xf>
    <xf numFmtId="0" fontId="49" fillId="4" borderId="21" xfId="0" applyFont="1" applyFill="1" applyBorder="1" applyAlignment="1">
      <alignment horizontal="center" wrapText="1"/>
    </xf>
    <xf numFmtId="0" fontId="3" fillId="11" borderId="21" xfId="0" applyFont="1" applyFill="1" applyBorder="1" applyAlignment="1">
      <alignment horizontal="center" wrapText="1"/>
    </xf>
    <xf numFmtId="0" fontId="3" fillId="11" borderId="22" xfId="0" applyFont="1" applyFill="1" applyBorder="1" applyAlignment="1">
      <alignment horizontal="center" wrapText="1"/>
    </xf>
    <xf numFmtId="164" fontId="2" fillId="0" borderId="1" xfId="1" applyNumberFormat="1" applyFont="1" applyFill="1" applyBorder="1" applyAlignment="1">
      <alignment horizontal="right" wrapText="1"/>
    </xf>
    <xf numFmtId="0" fontId="49" fillId="0" borderId="1" xfId="4" applyFont="1" applyBorder="1" applyAlignment="1">
      <alignment horizontal="left"/>
    </xf>
    <xf numFmtId="0" fontId="7" fillId="14" borderId="1" xfId="4" applyFont="1" applyFill="1" applyBorder="1" applyAlignment="1">
      <alignment horizontal="right"/>
    </xf>
    <xf numFmtId="0" fontId="49" fillId="0" borderId="1" xfId="0" applyFont="1" applyBorder="1"/>
    <xf numFmtId="0" fontId="7" fillId="0" borderId="1" xfId="4" applyFont="1" applyFill="1" applyBorder="1" applyAlignment="1">
      <alignment horizontal="left"/>
    </xf>
    <xf numFmtId="0" fontId="7" fillId="0" borderId="1" xfId="4" applyFont="1" applyFill="1" applyBorder="1" applyAlignment="1">
      <alignment horizontal="left" indent="1"/>
    </xf>
    <xf numFmtId="168" fontId="7" fillId="3" borderId="1" xfId="2" applyNumberFormat="1" applyFont="1" applyFill="1" applyBorder="1" applyAlignment="1">
      <alignment horizontal="right"/>
    </xf>
    <xf numFmtId="0" fontId="7" fillId="0" borderId="1" xfId="9" applyFont="1" applyBorder="1" applyAlignment="1">
      <alignment horizontal="left" indent="1"/>
    </xf>
    <xf numFmtId="0" fontId="7" fillId="0" borderId="14" xfId="4" applyFont="1" applyBorder="1" applyAlignment="1">
      <alignment horizontal="left" indent="1"/>
    </xf>
    <xf numFmtId="177" fontId="2" fillId="0" borderId="1" xfId="0" applyNumberFormat="1" applyFont="1" applyFill="1" applyBorder="1"/>
    <xf numFmtId="170" fontId="2" fillId="0" borderId="1" xfId="0" applyNumberFormat="1" applyFont="1" applyFill="1" applyBorder="1"/>
    <xf numFmtId="0" fontId="7" fillId="0" borderId="14" xfId="4" applyFont="1" applyBorder="1" applyAlignment="1">
      <alignment horizontal="left"/>
    </xf>
    <xf numFmtId="177" fontId="2" fillId="0" borderId="1" xfId="0" applyNumberFormat="1" applyFont="1" applyBorder="1"/>
    <xf numFmtId="0" fontId="7" fillId="0" borderId="14" xfId="4" applyFont="1" applyBorder="1" applyAlignment="1">
      <alignment horizontal="left" indent="2"/>
    </xf>
    <xf numFmtId="177" fontId="7" fillId="3" borderId="1" xfId="2" applyNumberFormat="1" applyFont="1" applyFill="1" applyBorder="1"/>
    <xf numFmtId="168" fontId="7" fillId="3" borderId="1" xfId="2" applyNumberFormat="1" applyFont="1" applyFill="1" applyBorder="1"/>
    <xf numFmtId="170" fontId="2" fillId="0" borderId="1" xfId="0" applyNumberFormat="1" applyFont="1" applyBorder="1"/>
    <xf numFmtId="2" fontId="2" fillId="0" borderId="1" xfId="0" applyNumberFormat="1" applyFont="1" applyBorder="1"/>
    <xf numFmtId="3" fontId="7" fillId="3" borderId="1" xfId="1" applyNumberFormat="1" applyFont="1" applyFill="1" applyBorder="1" applyAlignment="1">
      <alignment horizontal="center"/>
    </xf>
    <xf numFmtId="0" fontId="7" fillId="0" borderId="14" xfId="4" applyFont="1" applyFill="1" applyBorder="1" applyAlignment="1">
      <alignment horizontal="left" indent="1"/>
    </xf>
    <xf numFmtId="0" fontId="7" fillId="0" borderId="14" xfId="4" applyFont="1" applyFill="1" applyBorder="1" applyAlignment="1">
      <alignment horizontal="left"/>
    </xf>
    <xf numFmtId="0" fontId="49" fillId="0" borderId="14" xfId="4" applyFont="1" applyBorder="1" applyAlignment="1">
      <alignment horizontal="left"/>
    </xf>
    <xf numFmtId="2" fontId="2" fillId="0" borderId="1" xfId="0" applyNumberFormat="1" applyFont="1" applyFill="1" applyBorder="1"/>
    <xf numFmtId="0" fontId="49" fillId="0" borderId="1" xfId="4" applyFont="1" applyFill="1" applyBorder="1" applyAlignment="1">
      <alignment horizontal="left"/>
    </xf>
    <xf numFmtId="0" fontId="7" fillId="0" borderId="1" xfId="4" applyFont="1" applyFill="1" applyBorder="1" applyAlignment="1">
      <alignment horizontal="right"/>
    </xf>
    <xf numFmtId="0" fontId="7" fillId="0" borderId="17" xfId="4" applyFont="1" applyFill="1" applyBorder="1" applyAlignment="1">
      <alignment horizontal="left" indent="1"/>
    </xf>
    <xf numFmtId="164" fontId="7" fillId="0" borderId="1" xfId="4" applyNumberFormat="1" applyFont="1" applyFill="1" applyBorder="1" applyAlignment="1">
      <alignment horizontal="right"/>
    </xf>
    <xf numFmtId="173" fontId="7" fillId="0" borderId="1" xfId="2" applyNumberFormat="1" applyFont="1" applyFill="1" applyBorder="1" applyAlignment="1">
      <alignment horizontal="right"/>
    </xf>
    <xf numFmtId="173" fontId="7" fillId="0" borderId="1" xfId="4" applyNumberFormat="1" applyFont="1" applyFill="1" applyBorder="1" applyAlignment="1">
      <alignment horizontal="right"/>
    </xf>
    <xf numFmtId="177" fontId="2" fillId="0" borderId="0" xfId="0" applyNumberFormat="1" applyFont="1" applyFill="1"/>
    <xf numFmtId="0" fontId="49" fillId="0" borderId="14" xfId="4" applyFont="1" applyBorder="1" applyAlignment="1">
      <alignment horizontal="left" indent="1"/>
    </xf>
    <xf numFmtId="177" fontId="3" fillId="0" borderId="1" xfId="0" applyNumberFormat="1" applyFont="1" applyFill="1" applyBorder="1"/>
    <xf numFmtId="177" fontId="3" fillId="0" borderId="1" xfId="0" applyNumberFormat="1" applyFont="1" applyBorder="1"/>
    <xf numFmtId="2" fontId="2" fillId="0" borderId="1" xfId="0" applyNumberFormat="1" applyFont="1" applyFill="1" applyBorder="1" applyAlignment="1">
      <alignment horizontal="center"/>
    </xf>
    <xf numFmtId="2" fontId="2" fillId="0" borderId="1" xfId="0" applyNumberFormat="1" applyFont="1" applyBorder="1" applyAlignment="1">
      <alignment horizontal="center"/>
    </xf>
    <xf numFmtId="0" fontId="7" fillId="0" borderId="14" xfId="4" applyFont="1" applyBorder="1" applyAlignment="1">
      <alignment horizontal="left" indent="3"/>
    </xf>
    <xf numFmtId="0" fontId="2" fillId="0" borderId="1" xfId="0" applyFont="1" applyBorder="1" applyAlignment="1">
      <alignment horizontal="center"/>
    </xf>
    <xf numFmtId="2" fontId="7" fillId="3" borderId="1" xfId="1" applyNumberFormat="1" applyFont="1" applyFill="1" applyBorder="1" applyAlignment="1">
      <alignment horizontal="center"/>
    </xf>
    <xf numFmtId="0" fontId="7" fillId="0" borderId="0" xfId="4" applyFont="1" applyBorder="1" applyAlignment="1">
      <alignment horizontal="left" indent="1"/>
    </xf>
    <xf numFmtId="0" fontId="49" fillId="0" borderId="0" xfId="4" applyFont="1"/>
    <xf numFmtId="168" fontId="3" fillId="0" borderId="1" xfId="0" applyNumberFormat="1" applyFont="1" applyFill="1" applyBorder="1"/>
    <xf numFmtId="0" fontId="7" fillId="0" borderId="14" xfId="4" applyFont="1" applyBorder="1" applyAlignment="1">
      <alignment horizontal="left" wrapText="1"/>
    </xf>
    <xf numFmtId="44" fontId="2" fillId="0" borderId="1" xfId="0" applyNumberFormat="1" applyFont="1" applyFill="1" applyBorder="1"/>
    <xf numFmtId="44" fontId="2" fillId="0" borderId="1" xfId="0" applyNumberFormat="1" applyFont="1" applyBorder="1"/>
    <xf numFmtId="44" fontId="2" fillId="0" borderId="1" xfId="2" applyFont="1" applyFill="1" applyBorder="1"/>
    <xf numFmtId="168" fontId="44" fillId="7" borderId="1" xfId="2" applyNumberFormat="1" applyFont="1" applyFill="1" applyBorder="1"/>
    <xf numFmtId="0" fontId="44" fillId="7" borderId="1" xfId="0" applyFont="1" applyFill="1" applyBorder="1"/>
    <xf numFmtId="0" fontId="45" fillId="7" borderId="42" xfId="0" applyFont="1" applyFill="1" applyBorder="1"/>
    <xf numFmtId="168" fontId="44" fillId="7" borderId="43" xfId="2" applyNumberFormat="1" applyFont="1" applyFill="1" applyBorder="1"/>
    <xf numFmtId="168" fontId="44" fillId="7" borderId="44" xfId="2" applyNumberFormat="1" applyFont="1" applyFill="1" applyBorder="1"/>
    <xf numFmtId="0" fontId="44" fillId="7" borderId="27" xfId="0" applyFont="1" applyFill="1" applyBorder="1"/>
    <xf numFmtId="168" fontId="44" fillId="7" borderId="6" xfId="2" applyNumberFormat="1" applyFont="1" applyFill="1" applyBorder="1"/>
    <xf numFmtId="0" fontId="44" fillId="7" borderId="45" xfId="0" applyFont="1" applyFill="1" applyBorder="1"/>
    <xf numFmtId="168" fontId="44" fillId="7" borderId="46" xfId="2" applyNumberFormat="1" applyFont="1" applyFill="1" applyBorder="1"/>
    <xf numFmtId="168" fontId="44" fillId="7" borderId="47" xfId="2" applyNumberFormat="1" applyFont="1" applyFill="1" applyBorder="1"/>
    <xf numFmtId="168" fontId="50" fillId="0" borderId="1" xfId="2" applyNumberFormat="1" applyFont="1" applyBorder="1"/>
    <xf numFmtId="0" fontId="41" fillId="12" borderId="0" xfId="0" applyFont="1" applyFill="1" applyBorder="1" applyAlignment="1">
      <alignment wrapText="1"/>
    </xf>
    <xf numFmtId="168" fontId="41" fillId="16" borderId="0" xfId="2" applyNumberFormat="1" applyFont="1" applyFill="1" applyBorder="1"/>
    <xf numFmtId="0" fontId="41" fillId="12" borderId="37" xfId="0" applyFont="1" applyFill="1" applyBorder="1"/>
    <xf numFmtId="0" fontId="41" fillId="7" borderId="48" xfId="0" applyFont="1" applyFill="1" applyBorder="1"/>
    <xf numFmtId="0" fontId="41" fillId="16" borderId="48" xfId="0" applyFont="1" applyFill="1" applyBorder="1"/>
    <xf numFmtId="0" fontId="51" fillId="16" borderId="0" xfId="0" applyFont="1" applyFill="1" applyBorder="1" applyAlignment="1"/>
    <xf numFmtId="0" fontId="52" fillId="16" borderId="0" xfId="0" applyFont="1" applyFill="1" applyBorder="1" applyAlignment="1"/>
    <xf numFmtId="0" fontId="51" fillId="7" borderId="0" xfId="0" applyFont="1" applyFill="1" applyBorder="1" applyAlignment="1"/>
    <xf numFmtId="0" fontId="55" fillId="16" borderId="0" xfId="0" applyFont="1" applyFill="1" applyBorder="1" applyAlignment="1">
      <alignment horizontal="right"/>
    </xf>
    <xf numFmtId="0" fontId="56" fillId="16" borderId="0" xfId="0" applyFont="1" applyFill="1" applyBorder="1" applyAlignment="1"/>
    <xf numFmtId="0" fontId="57" fillId="0" borderId="0" xfId="0" applyFont="1"/>
    <xf numFmtId="0" fontId="3" fillId="3" borderId="1" xfId="0" applyFont="1" applyFill="1" applyBorder="1"/>
    <xf numFmtId="0" fontId="58" fillId="3" borderId="1" xfId="0" applyFont="1" applyFill="1" applyBorder="1"/>
    <xf numFmtId="0" fontId="2" fillId="0" borderId="1" xfId="0" applyFont="1" applyFill="1" applyBorder="1"/>
    <xf numFmtId="0" fontId="2" fillId="7" borderId="1" xfId="0" applyFont="1" applyFill="1" applyBorder="1"/>
    <xf numFmtId="0" fontId="2" fillId="11" borderId="1" xfId="0" applyFont="1" applyFill="1" applyBorder="1"/>
    <xf numFmtId="0" fontId="20" fillId="0" borderId="1" xfId="0" applyFont="1" applyBorder="1"/>
    <xf numFmtId="0" fontId="57" fillId="0" borderId="0" xfId="0" applyFont="1" applyAlignment="1">
      <alignment wrapText="1"/>
    </xf>
    <xf numFmtId="0" fontId="57" fillId="0" borderId="1" xfId="0" applyFont="1" applyFill="1" applyBorder="1" applyAlignment="1">
      <alignment wrapText="1"/>
    </xf>
    <xf numFmtId="6" fontId="57" fillId="0" borderId="1" xfId="0" applyNumberFormat="1" applyFont="1" applyFill="1" applyBorder="1" applyAlignment="1">
      <alignment wrapText="1"/>
    </xf>
    <xf numFmtId="9" fontId="57" fillId="0" borderId="1" xfId="0" applyNumberFormat="1" applyFont="1" applyFill="1" applyBorder="1" applyAlignment="1">
      <alignment wrapText="1"/>
    </xf>
    <xf numFmtId="8" fontId="57" fillId="0" borderId="1" xfId="0" applyNumberFormat="1" applyFont="1" applyFill="1" applyBorder="1" applyAlignment="1">
      <alignment wrapText="1"/>
    </xf>
    <xf numFmtId="44" fontId="57" fillId="0" borderId="1" xfId="2" applyFont="1" applyFill="1" applyBorder="1" applyAlignment="1">
      <alignment wrapText="1"/>
    </xf>
    <xf numFmtId="10" fontId="57" fillId="0" borderId="1" xfId="0" applyNumberFormat="1" applyFont="1" applyFill="1" applyBorder="1" applyAlignment="1">
      <alignment wrapText="1"/>
    </xf>
    <xf numFmtId="166" fontId="57" fillId="0" borderId="1" xfId="1" applyNumberFormat="1" applyFont="1" applyFill="1" applyBorder="1" applyAlignment="1">
      <alignment wrapText="1"/>
    </xf>
    <xf numFmtId="168" fontId="57" fillId="0" borderId="1" xfId="2" applyNumberFormat="1" applyFont="1" applyFill="1" applyBorder="1" applyAlignment="1">
      <alignment wrapText="1"/>
    </xf>
    <xf numFmtId="178" fontId="57" fillId="0" borderId="1" xfId="0" applyNumberFormat="1" applyFont="1" applyFill="1" applyBorder="1" applyAlignment="1">
      <alignment wrapText="1"/>
    </xf>
    <xf numFmtId="9" fontId="57" fillId="0" borderId="1" xfId="3" applyFont="1" applyFill="1" applyBorder="1" applyAlignment="1">
      <alignment wrapText="1"/>
    </xf>
    <xf numFmtId="0" fontId="57" fillId="0" borderId="0" xfId="0" applyFont="1" applyFill="1" applyAlignment="1">
      <alignment wrapText="1"/>
    </xf>
    <xf numFmtId="0" fontId="44" fillId="18" borderId="0" xfId="0" applyFont="1" applyFill="1"/>
    <xf numFmtId="7" fontId="44" fillId="7" borderId="9" xfId="2" applyNumberFormat="1" applyFont="1" applyFill="1" applyBorder="1"/>
    <xf numFmtId="7" fontId="44" fillId="7" borderId="7" xfId="2" applyNumberFormat="1" applyFont="1" applyFill="1" applyBorder="1"/>
    <xf numFmtId="0" fontId="59" fillId="0" borderId="0" xfId="4" applyFont="1"/>
    <xf numFmtId="0" fontId="10" fillId="0" borderId="0" xfId="4" applyFont="1"/>
    <xf numFmtId="2" fontId="10" fillId="0" borderId="0" xfId="4" applyNumberFormat="1" applyFont="1"/>
    <xf numFmtId="164" fontId="10" fillId="0" borderId="0" xfId="4" applyNumberFormat="1" applyFont="1"/>
    <xf numFmtId="0" fontId="59" fillId="0" borderId="0" xfId="4" applyFont="1" applyAlignment="1">
      <alignment horizontal="center" wrapText="1"/>
    </xf>
    <xf numFmtId="164" fontId="21" fillId="0" borderId="0" xfId="1" applyNumberFormat="1" applyFont="1"/>
    <xf numFmtId="0" fontId="60" fillId="0" borderId="0" xfId="0" applyFont="1"/>
    <xf numFmtId="0" fontId="2" fillId="19" borderId="1" xfId="0" applyFont="1" applyFill="1" applyBorder="1" applyAlignment="1">
      <alignment horizontal="center" wrapText="1"/>
    </xf>
    <xf numFmtId="0" fontId="3" fillId="19" borderId="1" xfId="0" applyFont="1" applyFill="1" applyBorder="1" applyAlignment="1">
      <alignment wrapText="1"/>
    </xf>
    <xf numFmtId="0" fontId="3" fillId="19" borderId="1" xfId="0" applyFont="1" applyFill="1" applyBorder="1" applyAlignment="1">
      <alignment horizontal="center" wrapText="1"/>
    </xf>
    <xf numFmtId="0" fontId="21" fillId="20" borderId="1" xfId="0" applyFont="1" applyFill="1" applyBorder="1"/>
    <xf numFmtId="0" fontId="22" fillId="0" borderId="0" xfId="0" applyFont="1" applyBorder="1"/>
    <xf numFmtId="1" fontId="2" fillId="11" borderId="1" xfId="1" applyNumberFormat="1" applyFont="1" applyFill="1" applyBorder="1" applyAlignment="1">
      <alignment horizontal="right"/>
    </xf>
    <xf numFmtId="0" fontId="2" fillId="19" borderId="1" xfId="0" applyFont="1" applyFill="1" applyBorder="1"/>
    <xf numFmtId="164" fontId="2" fillId="19" borderId="1" xfId="0" applyNumberFormat="1" applyFont="1" applyFill="1" applyBorder="1"/>
    <xf numFmtId="168" fontId="2" fillId="19" borderId="1" xfId="2" applyNumberFormat="1" applyFont="1" applyFill="1" applyBorder="1"/>
    <xf numFmtId="44" fontId="44" fillId="7" borderId="10" xfId="2" applyFont="1" applyFill="1" applyBorder="1"/>
    <xf numFmtId="168" fontId="44" fillId="7" borderId="1" xfId="0" applyNumberFormat="1" applyFont="1" applyFill="1" applyBorder="1"/>
    <xf numFmtId="0" fontId="44" fillId="7" borderId="43" xfId="0" applyFont="1" applyFill="1" applyBorder="1"/>
    <xf numFmtId="0" fontId="44" fillId="7" borderId="44" xfId="0" applyFont="1" applyFill="1" applyBorder="1"/>
    <xf numFmtId="168" fontId="44" fillId="7" borderId="6" xfId="0" applyNumberFormat="1" applyFont="1" applyFill="1" applyBorder="1"/>
    <xf numFmtId="168" fontId="41" fillId="16" borderId="48" xfId="0" applyNumberFormat="1" applyFont="1" applyFill="1" applyBorder="1" applyAlignment="1">
      <alignment horizontal="center"/>
    </xf>
    <xf numFmtId="3" fontId="33" fillId="16" borderId="0" xfId="1" applyNumberFormat="1" applyFont="1" applyFill="1" applyAlignment="1">
      <alignment horizontal="center"/>
    </xf>
    <xf numFmtId="43" fontId="41" fillId="16" borderId="49" xfId="1" applyFont="1" applyFill="1" applyBorder="1" applyAlignment="1">
      <alignment horizontal="center"/>
    </xf>
    <xf numFmtId="3" fontId="41" fillId="16" borderId="49" xfId="1" applyNumberFormat="1" applyFont="1" applyFill="1" applyBorder="1" applyAlignment="1">
      <alignment horizontal="center"/>
    </xf>
    <xf numFmtId="3" fontId="61" fillId="16" borderId="32" xfId="0" applyNumberFormat="1" applyFont="1" applyFill="1" applyBorder="1" applyAlignment="1">
      <alignment horizontal="center"/>
    </xf>
    <xf numFmtId="0" fontId="41" fillId="12" borderId="48" xfId="0" applyFont="1" applyFill="1" applyBorder="1"/>
    <xf numFmtId="164" fontId="41" fillId="16" borderId="48" xfId="1" applyNumberFormat="1" applyFont="1" applyFill="1" applyBorder="1"/>
    <xf numFmtId="0" fontId="35" fillId="2" borderId="50" xfId="0" applyFont="1" applyFill="1" applyBorder="1" applyAlignment="1">
      <alignment horizontal="center"/>
    </xf>
    <xf numFmtId="0" fontId="35" fillId="2" borderId="48" xfId="0" applyFont="1" applyFill="1" applyBorder="1" applyAlignment="1">
      <alignment horizontal="center"/>
    </xf>
    <xf numFmtId="43" fontId="61" fillId="16" borderId="32" xfId="0" applyNumberFormat="1" applyFont="1" applyFill="1" applyBorder="1" applyAlignment="1">
      <alignment horizontal="center"/>
    </xf>
    <xf numFmtId="0" fontId="35" fillId="17" borderId="0" xfId="0" applyFont="1" applyFill="1" applyBorder="1" applyAlignment="1">
      <alignment horizontal="center" vertical="center" wrapText="1"/>
    </xf>
    <xf numFmtId="0" fontId="35" fillId="15" borderId="31" xfId="0" applyFont="1" applyFill="1" applyBorder="1" applyAlignment="1">
      <alignment horizontal="center" vertical="center"/>
    </xf>
    <xf numFmtId="0" fontId="41" fillId="7" borderId="51" xfId="0" applyFont="1" applyFill="1" applyBorder="1"/>
    <xf numFmtId="0" fontId="63" fillId="7" borderId="0" xfId="0" applyFont="1" applyFill="1" applyBorder="1" applyAlignment="1">
      <alignment vertical="center"/>
    </xf>
    <xf numFmtId="0" fontId="64" fillId="16" borderId="0" xfId="0" applyFont="1" applyFill="1" applyBorder="1" applyAlignment="1"/>
    <xf numFmtId="0" fontId="52" fillId="16" borderId="0" xfId="0" applyFont="1" applyFill="1" applyBorder="1" applyAlignment="1">
      <alignment horizontal="left"/>
    </xf>
    <xf numFmtId="0" fontId="65" fillId="16" borderId="0" xfId="0" applyFont="1" applyFill="1" applyBorder="1" applyAlignment="1">
      <alignment horizontal="right"/>
    </xf>
    <xf numFmtId="0" fontId="65" fillId="16" borderId="0" xfId="0" applyFont="1" applyFill="1" applyBorder="1" applyAlignment="1">
      <alignment horizontal="right" wrapText="1"/>
    </xf>
    <xf numFmtId="0" fontId="51" fillId="7" borderId="0" xfId="0" applyFont="1" applyFill="1" applyBorder="1" applyAlignment="1" applyProtection="1">
      <protection locked="0"/>
    </xf>
    <xf numFmtId="3" fontId="51" fillId="7" borderId="0" xfId="0" applyNumberFormat="1" applyFont="1" applyFill="1" applyBorder="1" applyAlignment="1" applyProtection="1">
      <alignment horizontal="left"/>
      <protection locked="0"/>
    </xf>
    <xf numFmtId="9" fontId="51" fillId="7" borderId="0" xfId="0" applyNumberFormat="1" applyFont="1" applyFill="1" applyBorder="1" applyAlignment="1" applyProtection="1">
      <protection locked="0"/>
    </xf>
    <xf numFmtId="0" fontId="51" fillId="7" borderId="0" xfId="0" applyFont="1" applyFill="1" applyBorder="1" applyAlignment="1" applyProtection="1">
      <alignment vertical="top"/>
      <protection locked="0"/>
    </xf>
    <xf numFmtId="0" fontId="66" fillId="7" borderId="0" xfId="0" applyFont="1" applyFill="1" applyProtection="1">
      <protection locked="0"/>
    </xf>
    <xf numFmtId="0" fontId="47" fillId="7" borderId="0" xfId="0" applyFont="1" applyFill="1" applyBorder="1" applyAlignment="1">
      <alignment vertical="center"/>
    </xf>
    <xf numFmtId="0" fontId="47" fillId="15" borderId="41" xfId="0" applyFont="1" applyFill="1" applyBorder="1" applyAlignment="1"/>
    <xf numFmtId="0" fontId="47" fillId="0" borderId="0" xfId="0" applyFont="1" applyFill="1" applyBorder="1" applyAlignment="1">
      <alignment vertical="center"/>
    </xf>
    <xf numFmtId="0" fontId="67" fillId="12" borderId="48" xfId="0" applyFont="1" applyFill="1" applyBorder="1"/>
    <xf numFmtId="170" fontId="21" fillId="0" borderId="0" xfId="0" applyNumberFormat="1" applyFont="1"/>
    <xf numFmtId="164" fontId="41" fillId="16" borderId="48" xfId="1" applyNumberFormat="1" applyFont="1" applyFill="1" applyBorder="1" applyAlignment="1">
      <alignment horizontal="left" vertical="center"/>
    </xf>
    <xf numFmtId="0" fontId="29" fillId="11" borderId="0" xfId="0" applyFont="1" applyFill="1" applyAlignment="1">
      <alignment horizontal="right"/>
    </xf>
    <xf numFmtId="0" fontId="52" fillId="16" borderId="0" xfId="0" applyFont="1" applyFill="1" applyBorder="1" applyAlignment="1">
      <alignment horizontal="left" wrapText="1"/>
    </xf>
    <xf numFmtId="0" fontId="35" fillId="15" borderId="35" xfId="0" applyFont="1" applyFill="1" applyBorder="1" applyAlignment="1">
      <alignment horizontal="center" vertical="center" wrapText="1"/>
    </xf>
    <xf numFmtId="0" fontId="35" fillId="15" borderId="34" xfId="0" applyFont="1" applyFill="1" applyBorder="1" applyAlignment="1">
      <alignment horizontal="center" vertical="center" wrapText="1"/>
    </xf>
    <xf numFmtId="0" fontId="35" fillId="15" borderId="32" xfId="0" applyFont="1" applyFill="1" applyBorder="1" applyAlignment="1">
      <alignment horizontal="center" vertical="center" wrapText="1"/>
    </xf>
    <xf numFmtId="0" fontId="35" fillId="15" borderId="31" xfId="0" applyFont="1" applyFill="1" applyBorder="1" applyAlignment="1">
      <alignment horizontal="center" vertical="center" wrapText="1"/>
    </xf>
    <xf numFmtId="0" fontId="35" fillId="15" borderId="36" xfId="0" applyFont="1" applyFill="1" applyBorder="1" applyAlignment="1">
      <alignment horizontal="center" vertical="center" wrapText="1"/>
    </xf>
    <xf numFmtId="0" fontId="41" fillId="7" borderId="51" xfId="0" applyFont="1" applyFill="1" applyBorder="1" applyAlignment="1" applyProtection="1">
      <alignment horizontal="center"/>
      <protection locked="0"/>
    </xf>
    <xf numFmtId="0" fontId="0" fillId="7" borderId="51" xfId="0" applyFill="1" applyBorder="1" applyAlignment="1">
      <alignment horizontal="center"/>
    </xf>
    <xf numFmtId="0" fontId="45" fillId="7" borderId="24" xfId="0" applyFont="1" applyFill="1" applyBorder="1" applyAlignment="1">
      <alignment horizontal="center" vertical="center" wrapText="1"/>
    </xf>
    <xf numFmtId="0" fontId="45" fillId="7" borderId="29" xfId="0" applyFont="1" applyFill="1" applyBorder="1" applyAlignment="1">
      <alignment horizontal="center" vertical="center" wrapText="1"/>
    </xf>
    <xf numFmtId="0" fontId="45" fillId="7" borderId="30" xfId="0" applyFont="1" applyFill="1" applyBorder="1" applyAlignment="1">
      <alignment horizontal="center" vertical="center" wrapText="1"/>
    </xf>
    <xf numFmtId="168" fontId="41" fillId="16" borderId="48" xfId="2" applyNumberFormat="1" applyFont="1" applyFill="1" applyBorder="1" applyAlignment="1">
      <alignment horizontal="center"/>
    </xf>
    <xf numFmtId="44" fontId="51" fillId="7" borderId="52" xfId="2" applyFont="1" applyFill="1" applyBorder="1" applyAlignment="1" applyProtection="1">
      <protection locked="0"/>
    </xf>
    <xf numFmtId="168" fontId="51" fillId="7" borderId="53" xfId="2" applyNumberFormat="1" applyFont="1" applyFill="1" applyBorder="1" applyAlignment="1" applyProtection="1">
      <protection locked="0"/>
    </xf>
    <xf numFmtId="164" fontId="51" fillId="7" borderId="52" xfId="1" applyNumberFormat="1" applyFont="1" applyFill="1" applyBorder="1" applyAlignment="1" applyProtection="1">
      <protection locked="0"/>
    </xf>
  </cellXfs>
  <cellStyles count="72">
    <cellStyle name="Comma" xfId="1" builtinId="3"/>
    <cellStyle name="Comma 2" xfId="7"/>
    <cellStyle name="Comma 3" xfId="5"/>
    <cellStyle name="Currency" xfId="2" builtinId="4"/>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Normal" xfId="0" builtinId="0"/>
    <cellStyle name="Normal 2" xfId="6"/>
    <cellStyle name="Normal 3" xfId="4"/>
    <cellStyle name="Normal_MSU MRF Cost Splits.XLS" xfId="9"/>
    <cellStyle name="Percent" xfId="3" builtinId="5"/>
    <cellStyle name="Percent 2" xfId="8"/>
  </cellStyles>
  <dxfs count="3">
    <dxf>
      <fill>
        <patternFill>
          <bgColor theme="7" tint="0.79998168889431442"/>
        </patternFill>
      </fill>
      <border>
        <left style="dashDot">
          <color auto="1"/>
        </left>
        <right style="dashDot">
          <color auto="1"/>
        </right>
        <top style="dashDot">
          <color auto="1"/>
        </top>
        <bottom style="dashDot">
          <color auto="1"/>
        </bottom>
        <vertical/>
        <horizontal/>
      </border>
    </dxf>
    <dxf>
      <fill>
        <patternFill>
          <bgColor theme="7" tint="0.79998168889431442"/>
        </patternFill>
      </fill>
      <border>
        <left style="dashDot">
          <color auto="1"/>
        </left>
        <right style="dashDot">
          <color auto="1"/>
        </right>
        <top style="dashDot">
          <color auto="1"/>
        </top>
        <bottom style="dashDot">
          <color auto="1"/>
        </bottom>
        <vertical/>
        <horizontal/>
      </border>
    </dxf>
    <dxf>
      <fill>
        <patternFill>
          <bgColor theme="7" tint="0.79998168889431442"/>
        </patternFill>
      </fill>
      <border>
        <left style="dashDot">
          <color auto="1"/>
        </left>
        <right style="dashDot">
          <color auto="1"/>
        </right>
        <top style="dashDot">
          <color auto="1"/>
        </top>
        <bottom style="dashDot">
          <color auto="1"/>
        </bottom>
      </border>
    </dxf>
  </dxfs>
  <tableStyles count="0" defaultTableStyle="TableStyleMedium2" defaultPivotStyle="PivotStyleLight16"/>
  <colors>
    <mruColors>
      <color rgb="FF009394"/>
      <color rgb="FFFFFF66"/>
      <color rgb="FFFFFF99"/>
      <color rgb="FF006666"/>
      <color rgb="FF000000"/>
      <color rgb="FF99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298449</xdr:colOff>
      <xdr:row>3</xdr:row>
      <xdr:rowOff>66219</xdr:rowOff>
    </xdr:from>
    <xdr:to>
      <xdr:col>16</xdr:col>
      <xdr:colOff>9072</xdr:colOff>
      <xdr:row>74</xdr:row>
      <xdr:rowOff>28575</xdr:rowOff>
    </xdr:to>
    <xdr:sp macro="" textlink="">
      <xdr:nvSpPr>
        <xdr:cNvPr id="2" name="TextBox 1"/>
        <xdr:cNvSpPr txBox="1"/>
      </xdr:nvSpPr>
      <xdr:spPr>
        <a:xfrm>
          <a:off x="898524" y="1561644"/>
          <a:ext cx="8711748" cy="13487856"/>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74320" tIns="182880" rIns="274320" bIns="182880" rtlCol="0" anchor="t"/>
        <a:lstStyle/>
        <a:p>
          <a:pPr algn="l"/>
          <a:r>
            <a:rPr lang="en-US" sz="1500" i="1">
              <a:solidFill>
                <a:schemeClr val="bg2">
                  <a:lumMod val="25000"/>
                </a:schemeClr>
              </a:solidFill>
              <a:effectLst/>
              <a:latin typeface="News Gothic MT" charset="0"/>
              <a:ea typeface="News Gothic MT" charset="0"/>
              <a:cs typeface="News Gothic MT" charset="0"/>
            </a:rPr>
            <a:t>The following instructions will guide the user through the</a:t>
          </a:r>
          <a:r>
            <a:rPr lang="en-US" sz="1500" i="1" baseline="0">
              <a:solidFill>
                <a:schemeClr val="bg2">
                  <a:lumMod val="25000"/>
                </a:schemeClr>
              </a:solidFill>
              <a:effectLst/>
              <a:latin typeface="News Gothic MT" charset="0"/>
              <a:ea typeface="News Gothic MT" charset="0"/>
              <a:cs typeface="News Gothic MT" charset="0"/>
            </a:rPr>
            <a:t> EPA Region 4 ISWM</a:t>
          </a:r>
          <a:r>
            <a:rPr lang="en-US" sz="1500" i="1">
              <a:solidFill>
                <a:schemeClr val="bg2">
                  <a:lumMod val="25000"/>
                </a:schemeClr>
              </a:solidFill>
              <a:effectLst/>
              <a:latin typeface="News Gothic MT" charset="0"/>
              <a:ea typeface="News Gothic MT" charset="0"/>
              <a:cs typeface="News Gothic MT" charset="0"/>
            </a:rPr>
            <a:t> spreadsheet.</a:t>
          </a:r>
          <a:r>
            <a:rPr lang="en-US" sz="1500" i="1" baseline="0">
              <a:solidFill>
                <a:schemeClr val="bg2">
                  <a:lumMod val="25000"/>
                </a:schemeClr>
              </a:solidFill>
              <a:effectLst/>
              <a:latin typeface="News Gothic MT" charset="0"/>
              <a:ea typeface="News Gothic MT" charset="0"/>
              <a:cs typeface="News Gothic MT" charset="0"/>
            </a:rPr>
            <a:t> </a:t>
          </a:r>
          <a:r>
            <a:rPr lang="en-US" sz="1500" i="1">
              <a:solidFill>
                <a:schemeClr val="bg2">
                  <a:lumMod val="25000"/>
                </a:schemeClr>
              </a:solidFill>
              <a:effectLst/>
              <a:latin typeface="News Gothic MT" charset="0"/>
              <a:ea typeface="News Gothic MT" charset="0"/>
              <a:cs typeface="News Gothic MT" charset="0"/>
            </a:rPr>
            <a:t>This spreadsheet is designed to be used by local governments as a decision making tool. By entering data about your community, including location, community description, number of households and other information, the model will provide an output with directional insights for comparing costs and impacts of various programs. The outputs are designed to help local governments compare the costs and impacts of one ISWM program choice versus another. </a:t>
          </a:r>
          <a:br>
            <a:rPr lang="en-US" sz="1600" i="1">
              <a:solidFill>
                <a:sysClr val="windowText" lastClr="000000"/>
              </a:solidFill>
              <a:effectLst/>
              <a:latin typeface="News Gothic MT" charset="0"/>
              <a:ea typeface="News Gothic MT" charset="0"/>
              <a:cs typeface="News Gothic MT" charset="0"/>
            </a:rPr>
          </a:br>
          <a:endParaRPr lang="en-US" sz="1600" strike="sngStrike" baseline="0">
            <a:solidFill>
              <a:sysClr val="windowText" lastClr="000000"/>
            </a:solidFill>
            <a:effectLst/>
            <a:latin typeface="News Gothic MT" charset="0"/>
            <a:ea typeface="News Gothic MT" charset="0"/>
            <a:cs typeface="News Gothic MT" charset="0"/>
          </a:endParaRPr>
        </a:p>
        <a:p>
          <a:pPr algn="l"/>
          <a:endParaRPr lang="en-US" sz="1100" b="1">
            <a:solidFill>
              <a:schemeClr val="dk1"/>
            </a:solidFill>
            <a:effectLst/>
            <a:latin typeface="News Gothic MT" charset="0"/>
            <a:ea typeface="News Gothic MT" charset="0"/>
            <a:cs typeface="News Gothic MT" charset="0"/>
          </a:endParaRPr>
        </a:p>
        <a:p>
          <a:pPr algn="l"/>
          <a:r>
            <a:rPr lang="en-US" sz="2800" b="1">
              <a:solidFill>
                <a:schemeClr val="accent1"/>
              </a:solidFill>
              <a:effectLst/>
              <a:latin typeface="Gill Sans MT Condensed" charset="0"/>
              <a:ea typeface="Gill Sans MT Condensed" charset="0"/>
              <a:cs typeface="Gill Sans MT Condensed" charset="0"/>
            </a:rPr>
            <a:t>GENERAL</a:t>
          </a:r>
          <a:r>
            <a:rPr lang="en-US" sz="2800" b="1" baseline="0">
              <a:solidFill>
                <a:schemeClr val="accent1"/>
              </a:solidFill>
              <a:effectLst/>
              <a:latin typeface="Gill Sans MT Condensed" charset="0"/>
              <a:ea typeface="Gill Sans MT Condensed" charset="0"/>
              <a:cs typeface="Gill Sans MT Condensed" charset="0"/>
            </a:rPr>
            <a:t> INSTRUCTIONS</a:t>
          </a:r>
          <a:endParaRPr lang="en-US" sz="2800">
            <a:solidFill>
              <a:schemeClr val="accent1"/>
            </a:solidFill>
            <a:effectLst/>
            <a:latin typeface="Gill Sans MT Condensed" charset="0"/>
            <a:ea typeface="Gill Sans MT Condensed" charset="0"/>
            <a:cs typeface="Gill Sans MT Condensed" charset="0"/>
          </a:endParaRPr>
        </a:p>
        <a:p>
          <a:pPr lvl="0" algn="l"/>
          <a:r>
            <a:rPr lang="en-US" sz="1100">
              <a:solidFill>
                <a:schemeClr val="bg2">
                  <a:lumMod val="25000"/>
                </a:schemeClr>
              </a:solidFill>
              <a:effectLst/>
              <a:latin typeface="News Gothic MT" charset="0"/>
              <a:ea typeface="News Gothic MT" charset="0"/>
              <a:cs typeface="News Gothic MT" charset="0"/>
            </a:rPr>
            <a:t>1. Open the ‘Inputs’ worksheet.</a:t>
          </a:r>
        </a:p>
        <a:p>
          <a:pPr lvl="0" algn="l"/>
          <a:r>
            <a:rPr lang="en-US" sz="1100">
              <a:solidFill>
                <a:schemeClr val="bg2">
                  <a:lumMod val="25000"/>
                </a:schemeClr>
              </a:solidFill>
              <a:effectLst/>
              <a:latin typeface="News Gothic MT" charset="0"/>
              <a:ea typeface="News Gothic MT" charset="0"/>
              <a:cs typeface="News Gothic MT" charset="0"/>
            </a:rPr>
            <a:t>2. Complete all eleven questions.</a:t>
          </a:r>
        </a:p>
        <a:p>
          <a:pPr lvl="0" algn="l"/>
          <a:r>
            <a:rPr lang="en-US" sz="1100">
              <a:solidFill>
                <a:schemeClr val="bg2">
                  <a:lumMod val="25000"/>
                </a:schemeClr>
              </a:solidFill>
              <a:effectLst/>
              <a:latin typeface="News Gothic MT" charset="0"/>
              <a:ea typeface="News Gothic MT" charset="0"/>
              <a:cs typeface="News Gothic MT" charset="0"/>
            </a:rPr>
            <a:t>3. You must fill in responses for Questions 1 through 3.</a:t>
          </a:r>
        </a:p>
        <a:p>
          <a:pPr lvl="0" algn="l"/>
          <a:r>
            <a:rPr lang="en-US" sz="1100">
              <a:solidFill>
                <a:schemeClr val="bg2">
                  <a:lumMod val="25000"/>
                </a:schemeClr>
              </a:solidFill>
              <a:effectLst/>
              <a:latin typeface="News Gothic MT" charset="0"/>
              <a:ea typeface="News Gothic MT" charset="0"/>
              <a:cs typeface="News Gothic MT" charset="0"/>
            </a:rPr>
            <a:t>4. If you do not know the answer to Questions 4 through 11, choose the </a:t>
          </a:r>
          <a:r>
            <a:rPr lang="en-US" sz="1100" i="1">
              <a:solidFill>
                <a:schemeClr val="bg2">
                  <a:lumMod val="25000"/>
                </a:schemeClr>
              </a:solidFill>
              <a:effectLst/>
              <a:latin typeface="News Gothic MT" charset="0"/>
              <a:ea typeface="News Gothic MT" charset="0"/>
              <a:cs typeface="News Gothic MT" charset="0"/>
            </a:rPr>
            <a:t>"Default" </a:t>
          </a:r>
          <a:r>
            <a:rPr lang="en-US" sz="1100">
              <a:solidFill>
                <a:schemeClr val="bg2">
                  <a:lumMod val="25000"/>
                </a:schemeClr>
              </a:solidFill>
              <a:effectLst/>
              <a:latin typeface="News Gothic MT" charset="0"/>
              <a:ea typeface="News Gothic MT" charset="0"/>
              <a:cs typeface="News Gothic MT" charset="0"/>
            </a:rPr>
            <a:t>setting</a:t>
          </a:r>
          <a:r>
            <a:rPr lang="en-US" sz="1100" baseline="0">
              <a:solidFill>
                <a:schemeClr val="bg2">
                  <a:lumMod val="25000"/>
                </a:schemeClr>
              </a:solidFill>
              <a:effectLst/>
              <a:latin typeface="News Gothic MT" charset="0"/>
              <a:ea typeface="News Gothic MT" charset="0"/>
              <a:cs typeface="News Gothic MT" charset="0"/>
            </a:rPr>
            <a:t> for each.</a:t>
          </a:r>
          <a:endParaRPr lang="en-US" sz="1100">
            <a:solidFill>
              <a:schemeClr val="bg2">
                <a:lumMod val="25000"/>
              </a:schemeClr>
            </a:solidFill>
            <a:effectLst/>
            <a:latin typeface="News Gothic MT" charset="0"/>
            <a:ea typeface="News Gothic MT" charset="0"/>
            <a:cs typeface="News Gothic MT" charset="0"/>
          </a:endParaRPr>
        </a:p>
        <a:p>
          <a:pPr lvl="0" algn="l"/>
          <a:r>
            <a:rPr lang="en-US" sz="1100">
              <a:solidFill>
                <a:schemeClr val="bg2">
                  <a:lumMod val="25000"/>
                </a:schemeClr>
              </a:solidFill>
              <a:effectLst/>
              <a:latin typeface="News Gothic MT" charset="0"/>
              <a:ea typeface="News Gothic MT" charset="0"/>
              <a:cs typeface="News Gothic MT" charset="0"/>
            </a:rPr>
            <a:t>5. Open the ‘Results</a:t>
          </a:r>
          <a:r>
            <a:rPr lang="en-US" sz="1100" baseline="0">
              <a:solidFill>
                <a:schemeClr val="bg2">
                  <a:lumMod val="25000"/>
                </a:schemeClr>
              </a:solidFill>
              <a:effectLst/>
              <a:latin typeface="News Gothic MT" charset="0"/>
              <a:ea typeface="News Gothic MT" charset="0"/>
              <a:cs typeface="News Gothic MT" charset="0"/>
            </a:rPr>
            <a:t> - Collection</a:t>
          </a:r>
          <a:r>
            <a:rPr lang="en-US" sz="1100">
              <a:solidFill>
                <a:schemeClr val="bg2">
                  <a:lumMod val="25000"/>
                </a:schemeClr>
              </a:solidFill>
              <a:effectLst/>
              <a:latin typeface="News Gothic MT" charset="0"/>
              <a:ea typeface="News Gothic MT" charset="0"/>
              <a:cs typeface="News Gothic MT" charset="0"/>
            </a:rPr>
            <a:t>’ page to see the model results</a:t>
          </a:r>
          <a:r>
            <a:rPr lang="en-US" sz="1100" baseline="0">
              <a:solidFill>
                <a:schemeClr val="bg2">
                  <a:lumMod val="25000"/>
                </a:schemeClr>
              </a:solidFill>
              <a:effectLst/>
              <a:latin typeface="News Gothic MT" charset="0"/>
              <a:ea typeface="News Gothic MT" charset="0"/>
              <a:cs typeface="News Gothic MT" charset="0"/>
            </a:rPr>
            <a:t> for collection, and 'Results - Hub and Spoke' to see the hub &amp; spoke results.</a:t>
          </a:r>
          <a:endParaRPr lang="en-US" sz="1100">
            <a:solidFill>
              <a:schemeClr val="bg2">
                <a:lumMod val="25000"/>
              </a:schemeClr>
            </a:solidFill>
            <a:effectLst/>
            <a:latin typeface="News Gothic MT" charset="0"/>
            <a:ea typeface="News Gothic MT" charset="0"/>
            <a:cs typeface="News Gothic MT" charset="0"/>
          </a:endParaRPr>
        </a:p>
        <a:p>
          <a:pPr lvl="0" algn="l"/>
          <a:r>
            <a:rPr lang="en-US" sz="1100">
              <a:solidFill>
                <a:schemeClr val="bg2">
                  <a:lumMod val="25000"/>
                </a:schemeClr>
              </a:solidFill>
              <a:effectLst/>
              <a:latin typeface="News Gothic MT" charset="0"/>
              <a:ea typeface="News Gothic MT" charset="0"/>
              <a:cs typeface="News Gothic MT" charset="0"/>
            </a:rPr>
            <a:t>6. Once you have completed a single model run, consider changing some of the inputs to understand what impacts the choices you make will have on the overall costs and impacts of your program.</a:t>
          </a:r>
        </a:p>
        <a:p>
          <a:pPr algn="ctr"/>
          <a:endParaRPr lang="en-US" sz="1100" b="1">
            <a:solidFill>
              <a:schemeClr val="dk1"/>
            </a:solidFill>
            <a:effectLst/>
            <a:latin typeface="Calibri" panose="020F0502020204030204" pitchFamily="34" charset="0"/>
            <a:ea typeface="+mn-ea"/>
            <a:cs typeface="Calibri" panose="020F0502020204030204" pitchFamily="34" charset="0"/>
          </a:endParaRPr>
        </a:p>
        <a:p>
          <a:pPr algn="ctr"/>
          <a:endParaRPr lang="en-US" sz="1100" b="1">
            <a:solidFill>
              <a:schemeClr val="dk1"/>
            </a:solidFill>
            <a:effectLst/>
            <a:latin typeface="Calibri" panose="020F0502020204030204" pitchFamily="34" charset="0"/>
            <a:ea typeface="+mn-ea"/>
            <a:cs typeface="Calibri" panose="020F0502020204030204" pitchFamily="34" charset="0"/>
          </a:endParaRPr>
        </a:p>
        <a:p>
          <a:pPr algn="l"/>
          <a:r>
            <a:rPr lang="en-US" sz="2800" b="1">
              <a:solidFill>
                <a:schemeClr val="accent1"/>
              </a:solidFill>
              <a:effectLst/>
              <a:latin typeface="Gill Sans MT Condensed" charset="0"/>
              <a:ea typeface="Gill Sans MT Condensed" charset="0"/>
              <a:cs typeface="Gill Sans MT Condensed" charset="0"/>
            </a:rPr>
            <a:t>DETAILED INSTRUCTIONS</a:t>
          </a:r>
          <a:endParaRPr lang="en-US" sz="2800">
            <a:solidFill>
              <a:schemeClr val="accent1"/>
            </a:solidFill>
            <a:effectLst/>
            <a:latin typeface="Gill Sans MT Condensed" charset="0"/>
            <a:ea typeface="Gill Sans MT Condensed" charset="0"/>
            <a:cs typeface="Gill Sans MT Condensed" charset="0"/>
          </a:endParaRPr>
        </a:p>
        <a:p>
          <a:pPr algn="l"/>
          <a:endParaRPr lang="en-US" sz="1100" b="1" i="1">
            <a:solidFill>
              <a:schemeClr val="dk1"/>
            </a:solidFill>
            <a:effectLst/>
            <a:latin typeface="Calibri" panose="020F0502020204030204" pitchFamily="34" charset="0"/>
            <a:ea typeface="+mn-ea"/>
            <a:cs typeface="Calibri" panose="020F0502020204030204" pitchFamily="34" charset="0"/>
          </a:endParaRPr>
        </a:p>
        <a:p>
          <a:pPr algn="l"/>
          <a:r>
            <a:rPr lang="en-US" sz="1100" b="1" i="1">
              <a:solidFill>
                <a:schemeClr val="bg2">
                  <a:lumMod val="25000"/>
                </a:schemeClr>
              </a:solidFill>
              <a:effectLst/>
              <a:latin typeface="News Gothic MT" charset="0"/>
              <a:ea typeface="News Gothic MT" charset="0"/>
              <a:cs typeface="News Gothic MT" charset="0"/>
            </a:rPr>
            <a:t>Q1. Enter your community name</a:t>
          </a:r>
          <a:r>
            <a:rPr lang="en-US" sz="1100" b="1">
              <a:solidFill>
                <a:schemeClr val="bg2">
                  <a:lumMod val="25000"/>
                </a:schemeClr>
              </a:solidFill>
              <a:effectLst/>
              <a:latin typeface="News Gothic MT" charset="0"/>
              <a:ea typeface="News Gothic MT" charset="0"/>
              <a:cs typeface="News Gothic MT" charset="0"/>
            </a:rPr>
            <a:t>:</a:t>
          </a:r>
          <a:r>
            <a:rPr lang="en-US" sz="1100">
              <a:solidFill>
                <a:schemeClr val="bg2">
                  <a:lumMod val="25000"/>
                </a:schemeClr>
              </a:solidFill>
              <a:effectLst/>
              <a:latin typeface="News Gothic MT" charset="0"/>
              <a:ea typeface="News Gothic MT" charset="0"/>
              <a:cs typeface="News Gothic MT" charset="0"/>
            </a:rPr>
            <a:t> Type the name of your community in the cell. The community name will appear in the model’s printable output.</a:t>
          </a:r>
        </a:p>
        <a:p>
          <a:pPr algn="l"/>
          <a:endParaRPr lang="en-US" sz="1100">
            <a:solidFill>
              <a:schemeClr val="bg2">
                <a:lumMod val="25000"/>
              </a:schemeClr>
            </a:solidFill>
            <a:effectLst/>
            <a:latin typeface="News Gothic MT" charset="0"/>
            <a:ea typeface="News Gothic MT" charset="0"/>
            <a:cs typeface="News Gothic MT" charset="0"/>
          </a:endParaRPr>
        </a:p>
        <a:p>
          <a:pPr algn="l"/>
          <a:r>
            <a:rPr lang="en-US" sz="1100" b="1" i="1">
              <a:solidFill>
                <a:schemeClr val="bg2">
                  <a:lumMod val="25000"/>
                </a:schemeClr>
              </a:solidFill>
              <a:effectLst/>
              <a:latin typeface="News Gothic MT" charset="0"/>
              <a:ea typeface="News Gothic MT" charset="0"/>
              <a:cs typeface="News Gothic MT" charset="0"/>
            </a:rPr>
            <a:t>Q2. Choose your State from the drop down list:</a:t>
          </a:r>
          <a:r>
            <a:rPr lang="en-US" sz="1100">
              <a:solidFill>
                <a:schemeClr val="bg2">
                  <a:lumMod val="25000"/>
                </a:schemeClr>
              </a:solidFill>
              <a:effectLst/>
              <a:latin typeface="News Gothic MT" charset="0"/>
              <a:ea typeface="News Gothic MT" charset="0"/>
              <a:cs typeface="News Gothic MT" charset="0"/>
            </a:rPr>
            <a:t>  Each state has individual attributes that will impact the model outputs,</a:t>
          </a:r>
          <a:r>
            <a:rPr lang="en-US" sz="1100" baseline="0">
              <a:solidFill>
                <a:schemeClr val="bg2">
                  <a:lumMod val="25000"/>
                </a:schemeClr>
              </a:solidFill>
              <a:effectLst/>
              <a:latin typeface="News Gothic MT" charset="0"/>
              <a:ea typeface="News Gothic MT" charset="0"/>
              <a:cs typeface="News Gothic MT" charset="0"/>
            </a:rPr>
            <a:t> you must choose an option.</a:t>
          </a:r>
          <a:endParaRPr lang="en-US" sz="1100">
            <a:solidFill>
              <a:schemeClr val="bg2">
                <a:lumMod val="25000"/>
              </a:schemeClr>
            </a:solidFill>
            <a:effectLst/>
            <a:latin typeface="News Gothic MT" charset="0"/>
            <a:ea typeface="News Gothic MT" charset="0"/>
            <a:cs typeface="News Gothic MT" charset="0"/>
          </a:endParaRPr>
        </a:p>
        <a:p>
          <a:pPr algn="l"/>
          <a:endParaRPr lang="en-US" sz="1100">
            <a:solidFill>
              <a:schemeClr val="bg2">
                <a:lumMod val="25000"/>
              </a:schemeClr>
            </a:solidFill>
            <a:effectLst/>
            <a:latin typeface="News Gothic MT" charset="0"/>
            <a:ea typeface="News Gothic MT" charset="0"/>
            <a:cs typeface="News Gothic MT" charset="0"/>
          </a:endParaRPr>
        </a:p>
        <a:p>
          <a:pPr algn="l"/>
          <a:r>
            <a:rPr lang="en-US" sz="1100" b="1" i="1" u="none">
              <a:solidFill>
                <a:schemeClr val="bg2">
                  <a:lumMod val="25000"/>
                </a:schemeClr>
              </a:solidFill>
              <a:effectLst/>
              <a:latin typeface="News Gothic MT" charset="0"/>
              <a:ea typeface="News Gothic MT" charset="0"/>
              <a:cs typeface="News Gothic MT" charset="0"/>
            </a:rPr>
            <a:t>Q3. Enter the number of households in your community:</a:t>
          </a:r>
          <a:r>
            <a:rPr lang="en-US" sz="1100" u="none">
              <a:solidFill>
                <a:schemeClr val="bg2">
                  <a:lumMod val="25000"/>
                </a:schemeClr>
              </a:solidFill>
              <a:effectLst/>
              <a:latin typeface="News Gothic MT" charset="0"/>
              <a:ea typeface="News Gothic MT" charset="0"/>
              <a:cs typeface="News Gothic MT" charset="0"/>
            </a:rPr>
            <a:t>  </a:t>
          </a:r>
          <a:r>
            <a:rPr lang="en-US" sz="1100">
              <a:solidFill>
                <a:schemeClr val="bg2">
                  <a:lumMod val="25000"/>
                </a:schemeClr>
              </a:solidFill>
              <a:effectLst/>
              <a:latin typeface="News Gothic MT" charset="0"/>
              <a:ea typeface="News Gothic MT" charset="0"/>
              <a:cs typeface="News Gothic MT" charset="0"/>
            </a:rPr>
            <a:t>Enter the number of single-family households and the number of multi-family units served by your residential solid waste program. The model is designed to estimate the costs and impacts of residential programs only, it is </a:t>
          </a:r>
          <a:r>
            <a:rPr lang="en-US" sz="1100" i="1">
              <a:solidFill>
                <a:schemeClr val="bg2">
                  <a:lumMod val="25000"/>
                </a:schemeClr>
              </a:solidFill>
              <a:effectLst/>
              <a:latin typeface="News Gothic MT" charset="0"/>
              <a:ea typeface="News Gothic MT" charset="0"/>
              <a:cs typeface="News Gothic MT" charset="0"/>
            </a:rPr>
            <a:t>not</a:t>
          </a:r>
          <a:r>
            <a:rPr lang="en-US" sz="1100">
              <a:solidFill>
                <a:schemeClr val="bg2">
                  <a:lumMod val="25000"/>
                </a:schemeClr>
              </a:solidFill>
              <a:effectLst/>
              <a:latin typeface="News Gothic MT" charset="0"/>
              <a:ea typeface="News Gothic MT" charset="0"/>
              <a:cs typeface="News Gothic MT" charset="0"/>
            </a:rPr>
            <a:t> designed to estimate the impacts of large multi-family or commercial programs which are generally handled as commercial accounts (i.e. dumpster service). </a:t>
          </a:r>
          <a:r>
            <a:rPr lang="en-US" sz="1100" u="sng">
              <a:solidFill>
                <a:schemeClr val="bg2">
                  <a:lumMod val="25000"/>
                </a:schemeClr>
              </a:solidFill>
              <a:effectLst/>
              <a:latin typeface="News Gothic MT" charset="0"/>
              <a:ea typeface="News Gothic MT" charset="0"/>
              <a:cs typeface="News Gothic MT" charset="0"/>
            </a:rPr>
            <a:t>Be sure to enter the number of </a:t>
          </a:r>
          <a:r>
            <a:rPr lang="en-US" sz="1100" b="1" u="sng">
              <a:solidFill>
                <a:schemeClr val="bg2">
                  <a:lumMod val="25000"/>
                </a:schemeClr>
              </a:solidFill>
              <a:effectLst/>
              <a:latin typeface="News Gothic MT" charset="0"/>
              <a:ea typeface="News Gothic MT" charset="0"/>
              <a:cs typeface="News Gothic MT" charset="0"/>
            </a:rPr>
            <a:t>households</a:t>
          </a:r>
          <a:r>
            <a:rPr lang="en-US" sz="1100" u="sng">
              <a:solidFill>
                <a:schemeClr val="bg2">
                  <a:lumMod val="25000"/>
                </a:schemeClr>
              </a:solidFill>
              <a:effectLst/>
              <a:latin typeface="News Gothic MT" charset="0"/>
              <a:ea typeface="News Gothic MT" charset="0"/>
              <a:cs typeface="News Gothic MT" charset="0"/>
            </a:rPr>
            <a:t>, not the total population.</a:t>
          </a:r>
          <a:r>
            <a:rPr lang="en-US" sz="1100">
              <a:solidFill>
                <a:schemeClr val="bg2">
                  <a:lumMod val="25000"/>
                </a:schemeClr>
              </a:solidFill>
              <a:effectLst/>
              <a:latin typeface="News Gothic MT" charset="0"/>
              <a:ea typeface="News Gothic MT" charset="0"/>
              <a:cs typeface="News Gothic MT" charset="0"/>
            </a:rPr>
            <a:t> </a:t>
          </a:r>
        </a:p>
        <a:p>
          <a:pPr algn="l"/>
          <a:endParaRPr lang="en-US" sz="1100">
            <a:solidFill>
              <a:schemeClr val="bg2">
                <a:lumMod val="25000"/>
              </a:schemeClr>
            </a:solidFill>
            <a:effectLst/>
            <a:latin typeface="News Gothic MT" charset="0"/>
            <a:ea typeface="News Gothic MT" charset="0"/>
            <a:cs typeface="News Gothic MT" charset="0"/>
          </a:endParaRPr>
        </a:p>
        <a:p>
          <a:pPr algn="l"/>
          <a:r>
            <a:rPr lang="en-US" sz="1100" b="1" i="1">
              <a:solidFill>
                <a:schemeClr val="bg2">
                  <a:lumMod val="25000"/>
                </a:schemeClr>
              </a:solidFill>
              <a:effectLst/>
              <a:latin typeface="News Gothic MT" charset="0"/>
              <a:ea typeface="News Gothic MT" charset="0"/>
              <a:cs typeface="News Gothic MT" charset="0"/>
            </a:rPr>
            <a:t>Q4. Estimate the level of participation in your recycling program</a:t>
          </a:r>
          <a:r>
            <a:rPr lang="en-US" sz="1100" b="1">
              <a:solidFill>
                <a:schemeClr val="bg2">
                  <a:lumMod val="25000"/>
                </a:schemeClr>
              </a:solidFill>
              <a:effectLst/>
              <a:latin typeface="News Gothic MT" charset="0"/>
              <a:ea typeface="News Gothic MT" charset="0"/>
              <a:cs typeface="News Gothic MT" charset="0"/>
            </a:rPr>
            <a:t>:</a:t>
          </a:r>
          <a:r>
            <a:rPr lang="en-US" sz="1100">
              <a:solidFill>
                <a:schemeClr val="bg2">
                  <a:lumMod val="25000"/>
                </a:schemeClr>
              </a:solidFill>
              <a:effectLst/>
              <a:latin typeface="News Gothic MT" charset="0"/>
              <a:ea typeface="News Gothic MT" charset="0"/>
              <a:cs typeface="News Gothic MT" charset="0"/>
            </a:rPr>
            <a:t> Recycling participation in the model is defined as the percentage of households in your</a:t>
          </a:r>
          <a:r>
            <a:rPr lang="en-US" sz="1100" baseline="0">
              <a:solidFill>
                <a:schemeClr val="bg2">
                  <a:lumMod val="25000"/>
                </a:schemeClr>
              </a:solidFill>
              <a:effectLst/>
              <a:latin typeface="News Gothic MT" charset="0"/>
              <a:ea typeface="News Gothic MT" charset="0"/>
              <a:cs typeface="News Gothic MT" charset="0"/>
            </a:rPr>
            <a:t> community that set out a recycling container for collection on a typical collection day</a:t>
          </a:r>
          <a:r>
            <a:rPr lang="en-US" sz="1100">
              <a:solidFill>
                <a:schemeClr val="bg2">
                  <a:lumMod val="25000"/>
                </a:schemeClr>
              </a:solidFill>
              <a:effectLst/>
              <a:latin typeface="News Gothic MT" charset="0"/>
              <a:ea typeface="News Gothic MT" charset="0"/>
              <a:cs typeface="News Gothic MT" charset="0"/>
            </a:rPr>
            <a:t>. This</a:t>
          </a:r>
          <a:r>
            <a:rPr lang="en-US" sz="1100" baseline="0">
              <a:solidFill>
                <a:schemeClr val="bg2">
                  <a:lumMod val="25000"/>
                </a:schemeClr>
              </a:solidFill>
              <a:effectLst/>
              <a:latin typeface="News Gothic MT" charset="0"/>
              <a:ea typeface="News Gothic MT" charset="0"/>
              <a:cs typeface="News Gothic MT" charset="0"/>
            </a:rPr>
            <a:t> is an estimate. </a:t>
          </a:r>
          <a:r>
            <a:rPr lang="en-US" sz="1100">
              <a:solidFill>
                <a:schemeClr val="bg2">
                  <a:lumMod val="25000"/>
                </a:schemeClr>
              </a:solidFill>
              <a:effectLst/>
              <a:latin typeface="News Gothic MT" charset="0"/>
              <a:ea typeface="News Gothic MT" charset="0"/>
              <a:cs typeface="News Gothic MT" charset="0"/>
            </a:rPr>
            <a:t>Participation will impact the results and depends on how your local program is set up (</a:t>
          </a:r>
          <a:r>
            <a:rPr lang="en-US" sz="1100" i="1">
              <a:solidFill>
                <a:schemeClr val="bg2">
                  <a:lumMod val="25000"/>
                </a:schemeClr>
              </a:solidFill>
              <a:effectLst/>
              <a:latin typeface="News Gothic MT" charset="0"/>
              <a:ea typeface="News Gothic MT" charset="0"/>
              <a:cs typeface="News Gothic MT" charset="0"/>
            </a:rPr>
            <a:t>i.e. Do residents have to pay extra for recycling or is recycling service included in the trash bill?)</a:t>
          </a:r>
          <a:r>
            <a:rPr lang="en-US" sz="1100">
              <a:solidFill>
                <a:schemeClr val="bg2">
                  <a:lumMod val="25000"/>
                </a:schemeClr>
              </a:solidFill>
              <a:effectLst/>
              <a:latin typeface="News Gothic MT" charset="0"/>
              <a:ea typeface="News Gothic MT" charset="0"/>
              <a:cs typeface="News Gothic MT" charset="0"/>
            </a:rPr>
            <a:t> as well as the outreach, education, and other programs adopted in your community.</a:t>
          </a:r>
          <a:r>
            <a:rPr lang="en-US" sz="1100" baseline="0">
              <a:solidFill>
                <a:schemeClr val="bg2">
                  <a:lumMod val="25000"/>
                </a:schemeClr>
              </a:solidFill>
              <a:effectLst/>
              <a:latin typeface="News Gothic MT" charset="0"/>
              <a:ea typeface="News Gothic MT" charset="0"/>
              <a:cs typeface="News Gothic MT" charset="0"/>
            </a:rPr>
            <a:t> </a:t>
          </a:r>
          <a:r>
            <a:rPr lang="en-US" sz="1100" u="sng" baseline="0">
              <a:solidFill>
                <a:schemeClr val="bg2">
                  <a:lumMod val="25000"/>
                </a:schemeClr>
              </a:solidFill>
              <a:effectLst/>
              <a:latin typeface="News Gothic MT" charset="0"/>
              <a:ea typeface="News Gothic MT" charset="0"/>
              <a:cs typeface="News Gothic MT" charset="0"/>
            </a:rPr>
            <a:t>T</a:t>
          </a:r>
          <a:r>
            <a:rPr lang="en-US" sz="1100" u="sng">
              <a:solidFill>
                <a:schemeClr val="bg2">
                  <a:lumMod val="25000"/>
                </a:schemeClr>
              </a:solidFill>
              <a:effectLst/>
              <a:latin typeface="News Gothic MT" charset="0"/>
              <a:ea typeface="News Gothic MT" charset="0"/>
              <a:cs typeface="News Gothic MT" charset="0"/>
            </a:rPr>
            <a:t>he default setting is ‘Medium participation’</a:t>
          </a:r>
          <a:r>
            <a:rPr lang="en-US" sz="1100">
              <a:solidFill>
                <a:schemeClr val="bg2">
                  <a:lumMod val="25000"/>
                </a:schemeClr>
              </a:solidFill>
              <a:effectLst/>
              <a:latin typeface="News Gothic MT" charset="0"/>
              <a:ea typeface="News Gothic MT" charset="0"/>
              <a:cs typeface="News Gothic MT" charset="0"/>
            </a:rPr>
            <a:t>.</a:t>
          </a:r>
        </a:p>
        <a:p>
          <a:pPr algn="l"/>
          <a:endParaRPr lang="en-US" sz="1100">
            <a:solidFill>
              <a:schemeClr val="bg2">
                <a:lumMod val="25000"/>
              </a:schemeClr>
            </a:solidFill>
            <a:effectLst/>
            <a:latin typeface="News Gothic MT" charset="0"/>
            <a:ea typeface="News Gothic MT" charset="0"/>
            <a:cs typeface="News Gothic MT" charset="0"/>
          </a:endParaRPr>
        </a:p>
        <a:p>
          <a:pPr algn="l"/>
          <a:r>
            <a:rPr lang="en-US" sz="1100" b="1" i="1">
              <a:solidFill>
                <a:schemeClr val="bg2">
                  <a:lumMod val="25000"/>
                </a:schemeClr>
              </a:solidFill>
              <a:effectLst/>
              <a:latin typeface="News Gothic MT" charset="0"/>
              <a:ea typeface="News Gothic MT" charset="0"/>
              <a:cs typeface="News Gothic MT" charset="0"/>
            </a:rPr>
            <a:t>Q5. Select your community type</a:t>
          </a:r>
          <a:r>
            <a:rPr lang="en-US" sz="1100">
              <a:solidFill>
                <a:schemeClr val="bg2">
                  <a:lumMod val="25000"/>
                </a:schemeClr>
              </a:solidFill>
              <a:effectLst/>
              <a:latin typeface="News Gothic MT" charset="0"/>
              <a:ea typeface="News Gothic MT" charset="0"/>
              <a:cs typeface="News Gothic MT" charset="0"/>
            </a:rPr>
            <a:t> – Choose the community type (Rural to Urban) that best describes your community. The community type impacts the route density and the number of households collected per route. </a:t>
          </a:r>
          <a:r>
            <a:rPr lang="en-US" sz="1100" u="sng">
              <a:solidFill>
                <a:schemeClr val="bg2">
                  <a:lumMod val="25000"/>
                </a:schemeClr>
              </a:solidFill>
              <a:effectLst/>
              <a:latin typeface="News Gothic MT" charset="0"/>
              <a:ea typeface="News Gothic MT" charset="0"/>
              <a:cs typeface="News Gothic MT" charset="0"/>
            </a:rPr>
            <a:t>The default setting is ‘Suburban’</a:t>
          </a:r>
          <a:r>
            <a:rPr lang="en-US" sz="1100">
              <a:solidFill>
                <a:schemeClr val="bg2">
                  <a:lumMod val="25000"/>
                </a:schemeClr>
              </a:solidFill>
              <a:effectLst/>
              <a:latin typeface="News Gothic MT" charset="0"/>
              <a:ea typeface="News Gothic MT" charset="0"/>
              <a:cs typeface="News Gothic MT" charset="0"/>
            </a:rPr>
            <a:t>.</a:t>
          </a:r>
        </a:p>
        <a:p>
          <a:pPr algn="l"/>
          <a:endParaRPr lang="en-US" sz="1100">
            <a:solidFill>
              <a:schemeClr val="bg2">
                <a:lumMod val="25000"/>
              </a:schemeClr>
            </a:solidFill>
            <a:effectLst/>
            <a:latin typeface="News Gothic MT" charset="0"/>
            <a:ea typeface="News Gothic MT" charset="0"/>
            <a:cs typeface="News Gothic MT" charset="0"/>
          </a:endParaRPr>
        </a:p>
        <a:p>
          <a:pPr algn="l"/>
          <a:r>
            <a:rPr lang="en-US" sz="1100" b="1" i="1">
              <a:solidFill>
                <a:schemeClr val="bg2">
                  <a:lumMod val="25000"/>
                </a:schemeClr>
              </a:solidFill>
              <a:effectLst/>
              <a:latin typeface="News Gothic MT" charset="0"/>
              <a:ea typeface="News Gothic MT" charset="0"/>
              <a:cs typeface="News Gothic MT" charset="0"/>
            </a:rPr>
            <a:t>Q6. Will glass be included in single stream recycling?</a:t>
          </a:r>
          <a:r>
            <a:rPr lang="en-US" sz="1100">
              <a:solidFill>
                <a:schemeClr val="bg2">
                  <a:lumMod val="25000"/>
                </a:schemeClr>
              </a:solidFill>
              <a:effectLst/>
              <a:latin typeface="News Gothic MT" charset="0"/>
              <a:ea typeface="News Gothic MT" charset="0"/>
              <a:cs typeface="News Gothic MT" charset="0"/>
            </a:rPr>
            <a:t> – </a:t>
          </a:r>
          <a:r>
            <a:rPr lang="en-US" sz="1100" u="sng">
              <a:solidFill>
                <a:schemeClr val="bg2">
                  <a:lumMod val="25000"/>
                </a:schemeClr>
              </a:solidFill>
              <a:effectLst/>
              <a:latin typeface="News Gothic MT" charset="0"/>
              <a:ea typeface="News Gothic MT" charset="0"/>
              <a:cs typeface="News Gothic MT" charset="0"/>
            </a:rPr>
            <a:t>The default is to include glass in the stream</a:t>
          </a:r>
          <a:r>
            <a:rPr lang="en-US" sz="1100">
              <a:solidFill>
                <a:schemeClr val="bg2">
                  <a:lumMod val="25000"/>
                </a:schemeClr>
              </a:solidFill>
              <a:effectLst/>
              <a:latin typeface="News Gothic MT" charset="0"/>
              <a:ea typeface="News Gothic MT" charset="0"/>
              <a:cs typeface="News Gothic MT" charset="0"/>
            </a:rPr>
            <a:t>.</a:t>
          </a:r>
        </a:p>
        <a:p>
          <a:pPr algn="l"/>
          <a:endParaRPr lang="en-US" sz="1100">
            <a:solidFill>
              <a:schemeClr val="bg2">
                <a:lumMod val="25000"/>
              </a:schemeClr>
            </a:solidFill>
            <a:effectLst/>
            <a:latin typeface="News Gothic MT" charset="0"/>
            <a:ea typeface="News Gothic MT" charset="0"/>
            <a:cs typeface="News Gothic MT" charset="0"/>
          </a:endParaRPr>
        </a:p>
        <a:p>
          <a:pPr algn="l"/>
          <a:r>
            <a:rPr lang="en-US" sz="1100" b="1" i="1">
              <a:solidFill>
                <a:schemeClr val="bg2">
                  <a:lumMod val="25000"/>
                </a:schemeClr>
              </a:solidFill>
              <a:effectLst/>
              <a:latin typeface="News Gothic MT" charset="0"/>
              <a:ea typeface="News Gothic MT" charset="0"/>
              <a:cs typeface="News Gothic MT" charset="0"/>
            </a:rPr>
            <a:t>Q7. How ‘much’ do you think people will recycle in your community?</a:t>
          </a:r>
          <a:r>
            <a:rPr lang="en-US" sz="1100">
              <a:solidFill>
                <a:schemeClr val="bg2">
                  <a:lumMod val="25000"/>
                </a:schemeClr>
              </a:solidFill>
              <a:effectLst/>
              <a:latin typeface="News Gothic MT" charset="0"/>
              <a:ea typeface="News Gothic MT" charset="0"/>
              <a:cs typeface="News Gothic MT" charset="0"/>
            </a:rPr>
            <a:t> The amount of material (measured in pounds per week, month or year) recycled per household varies significantly across the U.S. The model allows the user to choose an option based on their community and program design. If your community has adopted more aggressive solid waste programs such as embedded rates for recycling service, a pay-as-you-throw rate structure, disposal bans, or other advanced programs, the amount recycled will be on the upper end of the spectrum.</a:t>
          </a:r>
          <a:r>
            <a:rPr lang="en-US" sz="1100" baseline="0">
              <a:solidFill>
                <a:schemeClr val="bg2">
                  <a:lumMod val="25000"/>
                </a:schemeClr>
              </a:solidFill>
              <a:effectLst/>
              <a:latin typeface="News Gothic MT" charset="0"/>
              <a:ea typeface="News Gothic MT" charset="0"/>
              <a:cs typeface="News Gothic MT" charset="0"/>
            </a:rPr>
            <a:t> Thus,</a:t>
          </a:r>
          <a:r>
            <a:rPr lang="en-US" sz="1100">
              <a:solidFill>
                <a:schemeClr val="bg2">
                  <a:lumMod val="25000"/>
                </a:schemeClr>
              </a:solidFill>
              <a:effectLst/>
              <a:latin typeface="News Gothic MT" charset="0"/>
              <a:ea typeface="News Gothic MT" charset="0"/>
              <a:cs typeface="News Gothic MT" charset="0"/>
            </a:rPr>
            <a:t> you should choose "High."  Choosing</a:t>
          </a:r>
          <a:r>
            <a:rPr lang="en-US" sz="1100" baseline="0">
              <a:solidFill>
                <a:schemeClr val="bg2">
                  <a:lumMod val="25000"/>
                </a:schemeClr>
              </a:solidFill>
              <a:effectLst/>
              <a:latin typeface="News Gothic MT" charset="0"/>
              <a:ea typeface="News Gothic MT" charset="0"/>
              <a:cs typeface="News Gothic MT" charset="0"/>
            </a:rPr>
            <a:t> "High" means that most residents are filling their containers to between 75% and 100% of capacity. </a:t>
          </a:r>
          <a:r>
            <a:rPr lang="en-US" sz="1100">
              <a:solidFill>
                <a:schemeClr val="bg2">
                  <a:lumMod val="25000"/>
                </a:schemeClr>
              </a:solidFill>
              <a:effectLst/>
              <a:latin typeface="News Gothic MT" charset="0"/>
              <a:ea typeface="News Gothic MT" charset="0"/>
              <a:cs typeface="News Gothic MT" charset="0"/>
            </a:rPr>
            <a:t>Conversely, if recycling is new to your community, most likely the amount recycled will be relatively low, thus you should choose "Low." </a:t>
          </a:r>
          <a:r>
            <a:rPr lang="en-US" sz="1100" u="sng">
              <a:solidFill>
                <a:schemeClr val="bg2">
                  <a:lumMod val="25000"/>
                </a:schemeClr>
              </a:solidFill>
              <a:effectLst/>
              <a:latin typeface="News Gothic MT" charset="0"/>
              <a:ea typeface="News Gothic MT" charset="0"/>
              <a:cs typeface="News Gothic MT" charset="0"/>
            </a:rPr>
            <a:t>The default setting is "Medium low."</a:t>
          </a:r>
          <a:r>
            <a:rPr lang="en-US" sz="1100">
              <a:solidFill>
                <a:schemeClr val="bg2">
                  <a:lumMod val="25000"/>
                </a:schemeClr>
              </a:solidFill>
              <a:effectLst/>
              <a:latin typeface="News Gothic MT" charset="0"/>
              <a:ea typeface="News Gothic MT" charset="0"/>
              <a:cs typeface="News Gothic MT" charset="0"/>
            </a:rPr>
            <a:t>  The default assumes that containers</a:t>
          </a:r>
          <a:r>
            <a:rPr lang="en-US" sz="1100" baseline="0">
              <a:solidFill>
                <a:schemeClr val="bg2">
                  <a:lumMod val="25000"/>
                </a:schemeClr>
              </a:solidFill>
              <a:effectLst/>
              <a:latin typeface="News Gothic MT" charset="0"/>
              <a:ea typeface="News Gothic MT" charset="0"/>
              <a:cs typeface="News Gothic MT" charset="0"/>
            </a:rPr>
            <a:t> are about 50% full, on average.</a:t>
          </a:r>
          <a:endParaRPr lang="en-US" sz="1100">
            <a:solidFill>
              <a:schemeClr val="bg2">
                <a:lumMod val="25000"/>
              </a:schemeClr>
            </a:solidFill>
            <a:effectLst/>
            <a:latin typeface="News Gothic MT" charset="0"/>
            <a:ea typeface="News Gothic MT" charset="0"/>
            <a:cs typeface="News Gothic MT" charset="0"/>
          </a:endParaRPr>
        </a:p>
        <a:p>
          <a:pPr algn="l"/>
          <a:endParaRPr lang="en-US" sz="1100">
            <a:solidFill>
              <a:schemeClr val="bg2">
                <a:lumMod val="25000"/>
              </a:schemeClr>
            </a:solidFill>
            <a:effectLst/>
            <a:latin typeface="News Gothic MT" charset="0"/>
            <a:ea typeface="News Gothic MT" charset="0"/>
            <a:cs typeface="News Gothic MT" charset="0"/>
          </a:endParaRPr>
        </a:p>
        <a:p>
          <a:pPr algn="l"/>
          <a:r>
            <a:rPr lang="en-US" sz="1100">
              <a:solidFill>
                <a:schemeClr val="bg2">
                  <a:lumMod val="25000"/>
                </a:schemeClr>
              </a:solidFill>
              <a:effectLst/>
              <a:latin typeface="News Gothic MT" charset="0"/>
              <a:ea typeface="News Gothic MT" charset="0"/>
              <a:cs typeface="News Gothic MT" charset="0"/>
            </a:rPr>
            <a:t> </a:t>
          </a:r>
          <a:r>
            <a:rPr lang="en-US" sz="1100" b="1" i="1">
              <a:solidFill>
                <a:schemeClr val="bg2">
                  <a:lumMod val="25000"/>
                </a:schemeClr>
              </a:solidFill>
              <a:effectLst/>
              <a:latin typeface="News Gothic MT" charset="0"/>
              <a:ea typeface="News Gothic MT" charset="0"/>
              <a:cs typeface="News Gothic MT" charset="0"/>
            </a:rPr>
            <a:t>Q8. Do you know your landfill tip fee</a:t>
          </a:r>
          <a:r>
            <a:rPr lang="en-US" sz="1100" b="1">
              <a:solidFill>
                <a:schemeClr val="bg2">
                  <a:lumMod val="25000"/>
                </a:schemeClr>
              </a:solidFill>
              <a:effectLst/>
              <a:latin typeface="News Gothic MT" charset="0"/>
              <a:ea typeface="News Gothic MT" charset="0"/>
              <a:cs typeface="News Gothic MT" charset="0"/>
            </a:rPr>
            <a:t>?</a:t>
          </a:r>
          <a:r>
            <a:rPr lang="en-US" sz="1100">
              <a:solidFill>
                <a:schemeClr val="bg2">
                  <a:lumMod val="25000"/>
                </a:schemeClr>
              </a:solidFill>
              <a:effectLst/>
              <a:latin typeface="News Gothic MT" charset="0"/>
              <a:ea typeface="News Gothic MT" charset="0"/>
              <a:cs typeface="News Gothic MT" charset="0"/>
            </a:rPr>
            <a:t> If you answer "Yes," you will be prompted to enter your landfill tip fee into the spreadsheet. If you are unaware of the tip fee for your community, the model will use the state average in the calculations. </a:t>
          </a:r>
        </a:p>
        <a:p>
          <a:pPr algn="l"/>
          <a:endParaRPr lang="en-US" sz="1100">
            <a:solidFill>
              <a:schemeClr val="bg2">
                <a:lumMod val="25000"/>
              </a:schemeClr>
            </a:solidFill>
            <a:effectLst/>
            <a:latin typeface="News Gothic MT" charset="0"/>
            <a:ea typeface="News Gothic MT" charset="0"/>
            <a:cs typeface="News Gothic MT" charset="0"/>
          </a:endParaRPr>
        </a:p>
        <a:p>
          <a:pPr algn="l"/>
          <a:r>
            <a:rPr lang="en-US" sz="1100" b="1" i="1">
              <a:solidFill>
                <a:schemeClr val="bg2">
                  <a:lumMod val="25000"/>
                </a:schemeClr>
              </a:solidFill>
              <a:effectLst/>
              <a:latin typeface="News Gothic MT" charset="0"/>
              <a:ea typeface="News Gothic MT" charset="0"/>
              <a:cs typeface="News Gothic MT" charset="0"/>
            </a:rPr>
            <a:t> Q9. Do you know your recycling processor gate fee or revenue?</a:t>
          </a:r>
          <a:r>
            <a:rPr lang="en-US" sz="1100">
              <a:solidFill>
                <a:schemeClr val="bg2">
                  <a:lumMod val="25000"/>
                </a:schemeClr>
              </a:solidFill>
              <a:effectLst/>
              <a:latin typeface="News Gothic MT" charset="0"/>
              <a:ea typeface="News Gothic MT" charset="0"/>
              <a:cs typeface="News Gothic MT" charset="0"/>
            </a:rPr>
            <a:t> If you answer "Yes," you will be prompted to enter your processor gate fee or revenue into the spreadsheet. If you are unaware of the revenue or fee for your community, the model will use the state average in the calculations. </a:t>
          </a:r>
          <a:r>
            <a:rPr lang="en-US" sz="1100" u="sng">
              <a:solidFill>
                <a:schemeClr val="bg2">
                  <a:lumMod val="25000"/>
                </a:schemeClr>
              </a:solidFill>
              <a:effectLst/>
              <a:latin typeface="News Gothic MT" charset="0"/>
              <a:ea typeface="News Gothic MT" charset="0"/>
              <a:cs typeface="News Gothic MT" charset="0"/>
            </a:rPr>
            <a:t>Important: If you pay a fee per ton be sure to enter a minus symbol in front of the number you enter.</a:t>
          </a:r>
        </a:p>
        <a:p>
          <a:pPr algn="l"/>
          <a:endParaRPr lang="en-US" sz="1100" u="sng">
            <a:solidFill>
              <a:schemeClr val="bg2">
                <a:lumMod val="25000"/>
              </a:schemeClr>
            </a:solidFill>
            <a:effectLst/>
            <a:latin typeface="News Gothic MT" charset="0"/>
            <a:ea typeface="News Gothic MT" charset="0"/>
            <a:cs typeface="News Gothic MT" charset="0"/>
          </a:endParaRPr>
        </a:p>
        <a:p>
          <a:pPr algn="l"/>
          <a:r>
            <a:rPr lang="en-US" sz="1100" b="1" i="1" u="none">
              <a:solidFill>
                <a:schemeClr val="bg2">
                  <a:lumMod val="25000"/>
                </a:schemeClr>
              </a:solidFill>
              <a:effectLst/>
              <a:latin typeface="News Gothic MT" charset="0"/>
              <a:ea typeface="News Gothic MT" charset="0"/>
              <a:cs typeface="News Gothic MT" charset="0"/>
            </a:rPr>
            <a:t>Q10.</a:t>
          </a:r>
          <a:r>
            <a:rPr lang="en-US" sz="1100" b="1" i="1" u="none" baseline="0">
              <a:solidFill>
                <a:schemeClr val="bg2">
                  <a:lumMod val="25000"/>
                </a:schemeClr>
              </a:solidFill>
              <a:effectLst/>
              <a:latin typeface="News Gothic MT" charset="0"/>
              <a:ea typeface="News Gothic MT" charset="0"/>
              <a:cs typeface="News Gothic MT" charset="0"/>
            </a:rPr>
            <a:t> How far is it from your municipality to the Transfer Station, MRF, or other end destination you use, or plan to use, to process recyclables? </a:t>
          </a:r>
          <a:r>
            <a:rPr lang="en-US" sz="1100" b="0" i="0" u="none" baseline="0">
              <a:solidFill>
                <a:schemeClr val="bg2">
                  <a:lumMod val="25000"/>
                </a:schemeClr>
              </a:solidFill>
              <a:effectLst/>
              <a:latin typeface="News Gothic MT" charset="0"/>
              <a:ea typeface="News Gothic MT" charset="0"/>
              <a:cs typeface="News Gothic MT" charset="0"/>
            </a:rPr>
            <a:t>The average distance from your community to the end processor for your recyclables, whether it is a transfer station or a full scale MRF, impacts the overall costs of your program. Please enter your estimate of the one way distance, in miles, to the facility you currently use or plan to use to process your materials. </a:t>
          </a:r>
          <a:r>
            <a:rPr lang="en-US" sz="1100" b="0" i="0" u="sng" baseline="0">
              <a:solidFill>
                <a:schemeClr val="bg2">
                  <a:lumMod val="25000"/>
                </a:schemeClr>
              </a:solidFill>
              <a:effectLst/>
              <a:latin typeface="News Gothic MT" charset="0"/>
              <a:ea typeface="News Gothic MT" charset="0"/>
              <a:cs typeface="News Gothic MT" charset="0"/>
            </a:rPr>
            <a:t>The default setting is "15 miles or less (one way).</a:t>
          </a:r>
          <a:r>
            <a:rPr lang="en-US" sz="1100" b="1" i="1" u="sng" baseline="0">
              <a:solidFill>
                <a:schemeClr val="bg2">
                  <a:lumMod val="25000"/>
                </a:schemeClr>
              </a:solidFill>
              <a:effectLst/>
              <a:latin typeface="News Gothic MT" charset="0"/>
              <a:ea typeface="News Gothic MT" charset="0"/>
              <a:cs typeface="News Gothic MT" charset="0"/>
            </a:rPr>
            <a:t> </a:t>
          </a:r>
        </a:p>
        <a:p>
          <a:pPr algn="l"/>
          <a:endParaRPr lang="en-US" sz="1100" u="sng" baseline="0">
            <a:solidFill>
              <a:schemeClr val="bg2">
                <a:lumMod val="25000"/>
              </a:schemeClr>
            </a:solidFill>
            <a:effectLst/>
            <a:latin typeface="News Gothic MT" charset="0"/>
            <a:ea typeface="News Gothic MT" charset="0"/>
            <a:cs typeface="News Gothic MT" charset="0"/>
          </a:endParaRPr>
        </a:p>
        <a:p>
          <a:pPr algn="l"/>
          <a:r>
            <a:rPr lang="en-US" sz="1100" b="1" i="1" u="none" baseline="0">
              <a:solidFill>
                <a:schemeClr val="bg2">
                  <a:lumMod val="25000"/>
                </a:schemeClr>
              </a:solidFill>
              <a:effectLst/>
              <a:latin typeface="News Gothic MT" charset="0"/>
              <a:ea typeface="News Gothic MT" charset="0"/>
              <a:cs typeface="News Gothic MT" charset="0"/>
            </a:rPr>
            <a:t>Q11. Do you know the distance to the Materials Recovery Facility you use or would use to process recyclable materials if you built a Transfer Station? </a:t>
          </a:r>
          <a:r>
            <a:rPr lang="en-US" sz="1100" b="0" i="0" u="none" baseline="0">
              <a:solidFill>
                <a:schemeClr val="bg2">
                  <a:lumMod val="25000"/>
                </a:schemeClr>
              </a:solidFill>
              <a:effectLst/>
              <a:latin typeface="News Gothic MT" charset="0"/>
              <a:ea typeface="News Gothic MT" charset="0"/>
              <a:cs typeface="News Gothic MT" charset="0"/>
            </a:rPr>
            <a:t>If your community is considering building a transfer station to consolidate recyclables prior to sending them to a MRF for processing, approximately how far if the MRF from the transfer station? If you do not know the answer, or are not sure if you plan to build a transfer station, use the default setting. </a:t>
          </a:r>
          <a:r>
            <a:rPr lang="en-US" sz="1100" b="0" i="0" u="sng" baseline="0">
              <a:solidFill>
                <a:schemeClr val="bg2">
                  <a:lumMod val="25000"/>
                </a:schemeClr>
              </a:solidFill>
              <a:effectLst/>
              <a:latin typeface="News Gothic MT" charset="0"/>
              <a:ea typeface="News Gothic MT" charset="0"/>
              <a:cs typeface="News Gothic MT" charset="0"/>
            </a:rPr>
            <a:t>The default setting is "No" </a:t>
          </a:r>
          <a:r>
            <a:rPr lang="en-US" sz="1100" b="0" i="0" u="none" baseline="0">
              <a:solidFill>
                <a:schemeClr val="bg2">
                  <a:lumMod val="25000"/>
                </a:schemeClr>
              </a:solidFill>
              <a:effectLst/>
              <a:latin typeface="News Gothic MT" charset="0"/>
              <a:ea typeface="News Gothic MT" charset="0"/>
              <a:cs typeface="News Gothic MT" charset="0"/>
            </a:rPr>
            <a:t>in which case the model will assume an average distance of 75 miles.</a:t>
          </a:r>
          <a:r>
            <a:rPr lang="en-US" sz="1100" b="1" i="1" u="none" baseline="0">
              <a:solidFill>
                <a:schemeClr val="bg2">
                  <a:lumMod val="25000"/>
                </a:schemeClr>
              </a:solidFill>
              <a:effectLst/>
              <a:latin typeface="News Gothic MT" charset="0"/>
              <a:ea typeface="News Gothic MT" charset="0"/>
              <a:cs typeface="News Gothic MT" charset="0"/>
            </a:rPr>
            <a:t> </a:t>
          </a:r>
          <a:endParaRPr lang="en-US" sz="1100" u="none">
            <a:solidFill>
              <a:schemeClr val="bg2">
                <a:lumMod val="25000"/>
              </a:schemeClr>
            </a:solidFill>
            <a:effectLst/>
            <a:latin typeface="News Gothic MT" charset="0"/>
            <a:ea typeface="News Gothic MT" charset="0"/>
            <a:cs typeface="News Gothic MT" charset="0"/>
          </a:endParaRPr>
        </a:p>
        <a:p>
          <a:pPr algn="l"/>
          <a:endParaRPr lang="en-US" sz="1100" u="sng">
            <a:solidFill>
              <a:schemeClr val="dk1"/>
            </a:solidFill>
            <a:effectLst/>
            <a:latin typeface="News Gothic MT" charset="0"/>
            <a:ea typeface="News Gothic MT" charset="0"/>
            <a:cs typeface="News Gothic MT" charset="0"/>
          </a:endParaRPr>
        </a:p>
        <a:p>
          <a:pPr algn="l"/>
          <a:endParaRPr lang="en-US" sz="1100" u="sng">
            <a:solidFill>
              <a:schemeClr val="dk1"/>
            </a:solidFill>
            <a:effectLst/>
            <a:latin typeface="News Gothic MT" charset="0"/>
            <a:ea typeface="News Gothic MT" charset="0"/>
            <a:cs typeface="News Gothic MT" charset="0"/>
          </a:endParaRPr>
        </a:p>
        <a:p>
          <a:pPr algn="l"/>
          <a:endParaRPr lang="en-US" sz="1100" u="sng">
            <a:solidFill>
              <a:schemeClr val="dk1"/>
            </a:solidFill>
            <a:effectLst/>
            <a:latin typeface="News Gothic MT" charset="0"/>
            <a:ea typeface="News Gothic MT" charset="0"/>
            <a:cs typeface="News Gothic MT"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                                                                                            </a:t>
          </a:r>
          <a:r>
            <a:rPr lang="en-US" sz="1200" b="1" i="1">
              <a:solidFill>
                <a:schemeClr val="accent4">
                  <a:lumMod val="50000"/>
                </a:schemeClr>
              </a:solidFill>
              <a:effectLst/>
              <a:latin typeface="+mj-lt"/>
              <a:ea typeface="+mn-ea"/>
              <a:cs typeface="+mn-cs"/>
            </a:rPr>
            <a:t>Managing change in a resource-constrained world  </a:t>
          </a:r>
          <a:r>
            <a:rPr lang="en-US" sz="1200">
              <a:solidFill>
                <a:schemeClr val="accent2">
                  <a:lumMod val="75000"/>
                </a:schemeClr>
              </a:solidFill>
              <a:effectLst/>
              <a:latin typeface="+mj-lt"/>
              <a:ea typeface="+mn-ea"/>
              <a:cs typeface="+mn-cs"/>
            </a:rPr>
            <a:t>www.recycle.com</a:t>
          </a:r>
          <a:endParaRPr lang="en-US" sz="1200">
            <a:solidFill>
              <a:schemeClr val="accent2">
                <a:lumMod val="75000"/>
              </a:schemeClr>
            </a:solidFill>
            <a:effectLst/>
            <a:latin typeface="+mj-lt"/>
          </a:endParaRPr>
        </a:p>
        <a:p>
          <a:pPr algn="l"/>
          <a:endParaRPr lang="en-US" sz="1100" u="sng">
            <a:solidFill>
              <a:schemeClr val="dk1"/>
            </a:solidFill>
            <a:effectLst/>
            <a:latin typeface="News Gothic MT" charset="0"/>
            <a:ea typeface="News Gothic MT" charset="0"/>
            <a:cs typeface="News Gothic MT" charset="0"/>
          </a:endParaRPr>
        </a:p>
      </xdr:txBody>
    </xdr:sp>
    <xdr:clientData/>
  </xdr:twoCellAnchor>
  <xdr:twoCellAnchor>
    <xdr:from>
      <xdr:col>1</xdr:col>
      <xdr:colOff>1</xdr:colOff>
      <xdr:row>3</xdr:row>
      <xdr:rowOff>63499</xdr:rowOff>
    </xdr:from>
    <xdr:to>
      <xdr:col>1</xdr:col>
      <xdr:colOff>301625</xdr:colOff>
      <xdr:row>74</xdr:row>
      <xdr:rowOff>28575</xdr:rowOff>
    </xdr:to>
    <xdr:sp macro="" textlink="">
      <xdr:nvSpPr>
        <xdr:cNvPr id="3" name="Rectangle 2"/>
        <xdr:cNvSpPr/>
      </xdr:nvSpPr>
      <xdr:spPr>
        <a:xfrm>
          <a:off x="600076" y="1558924"/>
          <a:ext cx="301624" cy="13490576"/>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3175</xdr:colOff>
      <xdr:row>1</xdr:row>
      <xdr:rowOff>76200</xdr:rowOff>
    </xdr:from>
    <xdr:to>
      <xdr:col>16</xdr:col>
      <xdr:colOff>15875</xdr:colOff>
      <xdr:row>2</xdr:row>
      <xdr:rowOff>111124</xdr:rowOff>
    </xdr:to>
    <xdr:sp macro="" textlink="">
      <xdr:nvSpPr>
        <xdr:cNvPr id="1026" name="Text Box 2"/>
        <xdr:cNvSpPr txBox="1">
          <a:spLocks noChangeArrowheads="1"/>
        </xdr:cNvSpPr>
      </xdr:nvSpPr>
      <xdr:spPr bwMode="auto">
        <a:xfrm>
          <a:off x="603250" y="533400"/>
          <a:ext cx="9013825" cy="806449"/>
        </a:xfrm>
        <a:prstGeom prst="rect">
          <a:avLst/>
        </a:prstGeom>
        <a:solidFill>
          <a:schemeClr val="accent1"/>
        </a:solidFill>
        <a:ln w="9525">
          <a:noFill/>
          <a:miter lim="800000"/>
          <a:headEnd/>
          <a:tailEnd/>
        </a:ln>
      </xdr:spPr>
      <xdr:txBody>
        <a:bodyPr vertOverflow="clip" wrap="square" lIns="182880" tIns="18288" rIns="0" bIns="0" anchor="ctr" anchorCtr="0" upright="1"/>
        <a:lstStyle/>
        <a:p>
          <a:pPr algn="ctr" rtl="0">
            <a:defRPr sz="1000"/>
          </a:pPr>
          <a:r>
            <a:rPr lang="en-US" sz="4000" b="1" i="0" u="none" strike="noStrike" baseline="0">
              <a:solidFill>
                <a:schemeClr val="bg1"/>
              </a:solidFill>
              <a:latin typeface="Gill Sans MT Condensed" charset="0"/>
              <a:ea typeface="Gill Sans MT Condensed" charset="0"/>
              <a:cs typeface="Gill Sans MT Condensed" charset="0"/>
            </a:rPr>
            <a:t>INSTRUCTIONS FOR EPA REGION 4 ISWM MODEL</a:t>
          </a:r>
        </a:p>
      </xdr:txBody>
    </xdr:sp>
    <xdr:clientData/>
  </xdr:twoCellAnchor>
  <xdr:twoCellAnchor editAs="oneCell">
    <xdr:from>
      <xdr:col>13</xdr:col>
      <xdr:colOff>476250</xdr:colOff>
      <xdr:row>70</xdr:row>
      <xdr:rowOff>9525</xdr:rowOff>
    </xdr:from>
    <xdr:to>
      <xdr:col>15</xdr:col>
      <xdr:colOff>346982</xdr:colOff>
      <xdr:row>73</xdr:row>
      <xdr:rowOff>0</xdr:rowOff>
    </xdr:to>
    <xdr:pic>
      <xdr:nvPicPr>
        <xdr:cNvPr id="6" name="Picture 5" descr="RRSlogosmall"/>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77225" y="14268450"/>
          <a:ext cx="1070882" cy="5619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7938</xdr:colOff>
      <xdr:row>26</xdr:row>
      <xdr:rowOff>101281</xdr:rowOff>
    </xdr:from>
    <xdr:to>
      <xdr:col>8</xdr:col>
      <xdr:colOff>933451</xdr:colOff>
      <xdr:row>123</xdr:row>
      <xdr:rowOff>152399</xdr:rowOff>
    </xdr:to>
    <xdr:sp macro="" textlink="">
      <xdr:nvSpPr>
        <xdr:cNvPr id="2" name="TextBox 1"/>
        <xdr:cNvSpPr txBox="1"/>
      </xdr:nvSpPr>
      <xdr:spPr>
        <a:xfrm>
          <a:off x="217488" y="7359331"/>
          <a:ext cx="9050338" cy="1575784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tIns="91440" rIns="182880" bIns="91440" rtlCol="0" anchor="t"/>
        <a:lstStyle/>
        <a:p>
          <a:r>
            <a:rPr lang="en-US" sz="1100">
              <a:solidFill>
                <a:schemeClr val="bg2">
                  <a:lumMod val="25000"/>
                </a:schemeClr>
              </a:solidFill>
              <a:effectLst/>
              <a:latin typeface="News Gothic MT" charset="0"/>
              <a:ea typeface="News Gothic MT" charset="0"/>
              <a:cs typeface="News Gothic MT" charset="0"/>
            </a:rPr>
            <a:t>The Collection Model results allow the user to compare the impacts and costs of seven different recycling program options. By reading across the seven options the</a:t>
          </a:r>
          <a:r>
            <a:rPr lang="en-US" sz="1100" baseline="0">
              <a:solidFill>
                <a:schemeClr val="bg2">
                  <a:lumMod val="25000"/>
                </a:schemeClr>
              </a:solidFill>
              <a:effectLst/>
              <a:latin typeface="News Gothic MT" charset="0"/>
              <a:ea typeface="News Gothic MT" charset="0"/>
              <a:cs typeface="News Gothic MT" charset="0"/>
            </a:rPr>
            <a:t> user</a:t>
          </a:r>
          <a:r>
            <a:rPr lang="en-US" sz="1100">
              <a:solidFill>
                <a:schemeClr val="bg2">
                  <a:lumMod val="25000"/>
                </a:schemeClr>
              </a:solidFill>
              <a:effectLst/>
              <a:latin typeface="News Gothic MT" charset="0"/>
              <a:ea typeface="News Gothic MT" charset="0"/>
              <a:cs typeface="News Gothic MT" charset="0"/>
            </a:rPr>
            <a:t> can compare the differences in amount recycled and cost of each options. The following notes help define these outputs.</a:t>
          </a:r>
        </a:p>
        <a:p>
          <a:endParaRPr lang="en-US" sz="1100">
            <a:solidFill>
              <a:schemeClr val="dk1"/>
            </a:solidFill>
            <a:effectLst/>
            <a:latin typeface="News Gothic MT" charset="0"/>
            <a:ea typeface="News Gothic MT" charset="0"/>
            <a:cs typeface="News Gothic MT" charset="0"/>
          </a:endParaRPr>
        </a:p>
        <a:p>
          <a:r>
            <a:rPr lang="en-US" sz="2400" b="1">
              <a:solidFill>
                <a:schemeClr val="accent1"/>
              </a:solidFill>
              <a:effectLst/>
              <a:latin typeface="Gill Sans MT Condensed" charset="0"/>
              <a:ea typeface="Gill Sans MT Condensed" charset="0"/>
              <a:cs typeface="Gill Sans MT Condensed" charset="0"/>
            </a:rPr>
            <a:t>OUTPUT</a:t>
          </a:r>
          <a:r>
            <a:rPr lang="en-US" sz="2400" b="1" baseline="0">
              <a:solidFill>
                <a:schemeClr val="accent1"/>
              </a:solidFill>
              <a:effectLst/>
              <a:latin typeface="Gill Sans MT Condensed" charset="0"/>
              <a:ea typeface="Gill Sans MT Condensed" charset="0"/>
              <a:cs typeface="Gill Sans MT Condensed" charset="0"/>
            </a:rPr>
            <a:t> </a:t>
          </a:r>
          <a:r>
            <a:rPr lang="en-US" sz="2400" b="1" baseline="0">
              <a:solidFill>
                <a:srgbClr val="009394"/>
              </a:solidFill>
              <a:effectLst/>
              <a:latin typeface="Gill Sans MT Condensed" charset="0"/>
              <a:ea typeface="Gill Sans MT Condensed" charset="0"/>
              <a:cs typeface="Gill Sans MT Condensed" charset="0"/>
            </a:rPr>
            <a:t>DEFINITIONS</a:t>
          </a:r>
          <a:endParaRPr lang="en-US" sz="2400" b="1">
            <a:solidFill>
              <a:srgbClr val="009394"/>
            </a:solidFill>
            <a:effectLst/>
            <a:latin typeface="Gill Sans MT Condensed" charset="0"/>
            <a:ea typeface="Gill Sans MT Condensed" charset="0"/>
            <a:cs typeface="Gill Sans MT Condensed" charset="0"/>
          </a:endParaRPr>
        </a:p>
        <a:p>
          <a:pPr lvl="0"/>
          <a:r>
            <a:rPr lang="en-US" sz="1100" b="1">
              <a:solidFill>
                <a:schemeClr val="bg2">
                  <a:lumMod val="25000"/>
                </a:schemeClr>
              </a:solidFill>
              <a:effectLst/>
              <a:latin typeface="News Gothic MT" charset="0"/>
              <a:ea typeface="News Gothic MT" charset="0"/>
              <a:cs typeface="News Gothic MT" charset="0"/>
            </a:rPr>
            <a:t>1. Tons of Recycling per Year:</a:t>
          </a:r>
          <a:r>
            <a:rPr lang="en-US" sz="1100">
              <a:solidFill>
                <a:schemeClr val="bg2">
                  <a:lumMod val="25000"/>
                </a:schemeClr>
              </a:solidFill>
              <a:effectLst/>
              <a:latin typeface="News Gothic MT" charset="0"/>
              <a:ea typeface="News Gothic MT" charset="0"/>
              <a:cs typeface="News Gothic MT" charset="0"/>
            </a:rPr>
            <a:t> The total number of tons recycled in the community per year. This does not include</a:t>
          </a:r>
          <a:r>
            <a:rPr lang="en-US" sz="1100" baseline="0">
              <a:solidFill>
                <a:schemeClr val="bg2">
                  <a:lumMod val="25000"/>
                </a:schemeClr>
              </a:solidFill>
              <a:effectLst/>
              <a:latin typeface="News Gothic MT" charset="0"/>
              <a:ea typeface="News Gothic MT" charset="0"/>
              <a:cs typeface="News Gothic MT" charset="0"/>
            </a:rPr>
            <a:t> large multi-family, </a:t>
          </a:r>
          <a:r>
            <a:rPr lang="en-US" sz="1100">
              <a:solidFill>
                <a:schemeClr val="bg2">
                  <a:lumMod val="25000"/>
                </a:schemeClr>
              </a:solidFill>
              <a:effectLst/>
              <a:latin typeface="News Gothic MT" charset="0"/>
              <a:ea typeface="News Gothic MT" charset="0"/>
              <a:cs typeface="News Gothic MT" charset="0"/>
            </a:rPr>
            <a:t>commercial or industrial sectors. The tons</a:t>
          </a:r>
          <a:r>
            <a:rPr lang="en-US" sz="1100" baseline="0">
              <a:solidFill>
                <a:schemeClr val="bg2">
                  <a:lumMod val="25000"/>
                </a:schemeClr>
              </a:solidFill>
              <a:effectLst/>
              <a:latin typeface="News Gothic MT" charset="0"/>
              <a:ea typeface="News Gothic MT" charset="0"/>
              <a:cs typeface="News Gothic MT" charset="0"/>
            </a:rPr>
            <a:t> of recyling does not account for contamination. Contaimination in the stream is accounted for in the Hub and Spoke outputs.</a:t>
          </a:r>
          <a:endParaRPr lang="en-US" sz="1100">
            <a:solidFill>
              <a:schemeClr val="bg2">
                <a:lumMod val="25000"/>
              </a:schemeClr>
            </a:solidFill>
            <a:effectLst/>
            <a:latin typeface="News Gothic MT" charset="0"/>
            <a:ea typeface="News Gothic MT" charset="0"/>
            <a:cs typeface="News Gothic MT" charset="0"/>
          </a:endParaRPr>
        </a:p>
        <a:p>
          <a:pPr lvl="0"/>
          <a:endParaRPr lang="en-US" sz="1100" b="1">
            <a:solidFill>
              <a:schemeClr val="bg2">
                <a:lumMod val="25000"/>
              </a:schemeClr>
            </a:solidFill>
            <a:effectLst/>
            <a:latin typeface="News Gothic MT" charset="0"/>
            <a:ea typeface="News Gothic MT" charset="0"/>
            <a:cs typeface="News Gothic MT" charset="0"/>
          </a:endParaRPr>
        </a:p>
        <a:p>
          <a:pPr lvl="0"/>
          <a:r>
            <a:rPr lang="en-US" sz="1100" b="1">
              <a:solidFill>
                <a:schemeClr val="bg2">
                  <a:lumMod val="25000"/>
                </a:schemeClr>
              </a:solidFill>
              <a:effectLst/>
              <a:latin typeface="News Gothic MT" charset="0"/>
              <a:ea typeface="News Gothic MT" charset="0"/>
              <a:cs typeface="News Gothic MT" charset="0"/>
            </a:rPr>
            <a:t>2. Pounds of Recycling per Household per Year: </a:t>
          </a:r>
          <a:r>
            <a:rPr lang="en-US" sz="1100">
              <a:solidFill>
                <a:schemeClr val="bg2">
                  <a:lumMod val="25000"/>
                </a:schemeClr>
              </a:solidFill>
              <a:effectLst/>
              <a:latin typeface="News Gothic MT" charset="0"/>
              <a:ea typeface="News Gothic MT" charset="0"/>
              <a:cs typeface="News Gothic MT" charset="0"/>
            </a:rPr>
            <a:t>The total number of pounds recycled in the community per year, divided by the total number of households. </a:t>
          </a:r>
        </a:p>
        <a:p>
          <a:pPr lvl="0"/>
          <a:endParaRPr lang="en-US" sz="1100" b="1">
            <a:solidFill>
              <a:schemeClr val="bg2">
                <a:lumMod val="25000"/>
              </a:schemeClr>
            </a:solidFill>
            <a:effectLst/>
            <a:latin typeface="News Gothic MT" charset="0"/>
            <a:ea typeface="News Gothic MT" charset="0"/>
            <a:cs typeface="News Gothic MT" charset="0"/>
          </a:endParaRPr>
        </a:p>
        <a:p>
          <a:pPr lvl="0"/>
          <a:r>
            <a:rPr lang="en-US" sz="1100" b="1">
              <a:solidFill>
                <a:schemeClr val="bg2">
                  <a:lumMod val="25000"/>
                </a:schemeClr>
              </a:solidFill>
              <a:effectLst/>
              <a:latin typeface="News Gothic MT" charset="0"/>
              <a:ea typeface="News Gothic MT" charset="0"/>
              <a:cs typeface="News Gothic MT" charset="0"/>
            </a:rPr>
            <a:t>3. Annual Net Cost (Total):</a:t>
          </a:r>
          <a:r>
            <a:rPr lang="en-US" sz="1100">
              <a:solidFill>
                <a:schemeClr val="bg2">
                  <a:lumMod val="25000"/>
                </a:schemeClr>
              </a:solidFill>
              <a:effectLst/>
              <a:latin typeface="News Gothic MT" charset="0"/>
              <a:ea typeface="News Gothic MT" charset="0"/>
              <a:cs typeface="News Gothic MT" charset="0"/>
            </a:rPr>
            <a:t> The total annual cost to run the program. This includes the cost of container purchase, assembly, delivery, inventory, change outs, maintenance, and replacement</a:t>
          </a:r>
          <a:r>
            <a:rPr lang="en-US" sz="1100" baseline="0">
              <a:solidFill>
                <a:schemeClr val="bg2">
                  <a:lumMod val="25000"/>
                </a:schemeClr>
              </a:solidFill>
              <a:effectLst/>
              <a:latin typeface="News Gothic MT" charset="0"/>
              <a:ea typeface="News Gothic MT" charset="0"/>
              <a:cs typeface="News Gothic MT" charset="0"/>
            </a:rPr>
            <a:t> for</a:t>
          </a:r>
          <a:r>
            <a:rPr lang="en-US" sz="1100">
              <a:solidFill>
                <a:schemeClr val="bg2">
                  <a:lumMod val="25000"/>
                </a:schemeClr>
              </a:solidFill>
              <a:effectLst/>
              <a:latin typeface="News Gothic MT" charset="0"/>
              <a:ea typeface="News Gothic MT" charset="0"/>
              <a:cs typeface="News Gothic MT" charset="0"/>
            </a:rPr>
            <a:t> carts or bins, the cost of vehicle purchase, operations, insurance and fees, fuel, maintenance, and mileage (collection, support, and back-up vehicles), the cost of collection staff, the cost of a</a:t>
          </a:r>
          <a:r>
            <a:rPr lang="en-US" sz="1100" baseline="0">
              <a:solidFill>
                <a:schemeClr val="bg2">
                  <a:lumMod val="25000"/>
                </a:schemeClr>
              </a:solidFill>
              <a:effectLst/>
              <a:latin typeface="News Gothic MT" charset="0"/>
              <a:ea typeface="News Gothic MT" charset="0"/>
              <a:cs typeface="News Gothic MT" charset="0"/>
            </a:rPr>
            <a:t> basic</a:t>
          </a:r>
          <a:r>
            <a:rPr lang="en-US" sz="1100">
              <a:solidFill>
                <a:schemeClr val="bg2">
                  <a:lumMod val="25000"/>
                </a:schemeClr>
              </a:solidFill>
              <a:effectLst/>
              <a:latin typeface="News Gothic MT" charset="0"/>
              <a:ea typeface="News Gothic MT" charset="0"/>
              <a:cs typeface="News Gothic MT" charset="0"/>
            </a:rPr>
            <a:t> level of outreach, a contingency amount for capital and operations expenses, and the cost of servicing loans (all loans are assumed to use a seven-year payback period at 3.00% interest). It also includes the cost savings at the landfill achieved from</a:t>
          </a:r>
          <a:r>
            <a:rPr lang="en-US" sz="1100" i="1">
              <a:solidFill>
                <a:schemeClr val="bg2">
                  <a:lumMod val="25000"/>
                </a:schemeClr>
              </a:solidFill>
              <a:effectLst/>
              <a:latin typeface="News Gothic MT" charset="0"/>
              <a:ea typeface="News Gothic MT" charset="0"/>
              <a:cs typeface="News Gothic MT" charset="0"/>
            </a:rPr>
            <a:t> not</a:t>
          </a:r>
          <a:r>
            <a:rPr lang="en-US" sz="1100">
              <a:solidFill>
                <a:schemeClr val="bg2">
                  <a:lumMod val="25000"/>
                </a:schemeClr>
              </a:solidFill>
              <a:effectLst/>
              <a:latin typeface="News Gothic MT" charset="0"/>
              <a:ea typeface="News Gothic MT" charset="0"/>
              <a:cs typeface="News Gothic MT" charset="0"/>
            </a:rPr>
            <a:t> landfilling recyclables. This cost does </a:t>
          </a:r>
          <a:r>
            <a:rPr lang="en-US" sz="1100" i="1">
              <a:solidFill>
                <a:schemeClr val="bg2">
                  <a:lumMod val="25000"/>
                </a:schemeClr>
              </a:solidFill>
              <a:effectLst/>
              <a:latin typeface="News Gothic MT" charset="0"/>
              <a:ea typeface="News Gothic MT" charset="0"/>
              <a:cs typeface="News Gothic MT" charset="0"/>
            </a:rPr>
            <a:t>not </a:t>
          </a:r>
          <a:r>
            <a:rPr lang="en-US" sz="1100">
              <a:solidFill>
                <a:schemeClr val="bg2">
                  <a:lumMod val="25000"/>
                </a:schemeClr>
              </a:solidFill>
              <a:effectLst/>
              <a:latin typeface="News Gothic MT" charset="0"/>
              <a:ea typeface="News Gothic MT" charset="0"/>
              <a:cs typeface="News Gothic MT" charset="0"/>
            </a:rPr>
            <a:t>include administrative or support staff, billing costs, recyclable material processing cost/revenue, or fleet replacement costs. The costs/revenues of the recyclables collected are included in the Transfer &amp; Processing model.</a:t>
          </a:r>
        </a:p>
        <a:p>
          <a:pPr lvl="0"/>
          <a:endParaRPr lang="en-US" sz="1100" b="1">
            <a:solidFill>
              <a:schemeClr val="bg2">
                <a:lumMod val="25000"/>
              </a:schemeClr>
            </a:solidFill>
            <a:effectLst/>
            <a:latin typeface="News Gothic MT" charset="0"/>
            <a:ea typeface="News Gothic MT" charset="0"/>
            <a:cs typeface="News Gothic MT" charset="0"/>
          </a:endParaRPr>
        </a:p>
        <a:p>
          <a:pPr lvl="0"/>
          <a:r>
            <a:rPr lang="en-US" sz="1100" b="1">
              <a:solidFill>
                <a:schemeClr val="bg2">
                  <a:lumMod val="25000"/>
                </a:schemeClr>
              </a:solidFill>
              <a:effectLst/>
              <a:latin typeface="News Gothic MT" charset="0"/>
              <a:ea typeface="News Gothic MT" charset="0"/>
              <a:cs typeface="News Gothic MT" charset="0"/>
            </a:rPr>
            <a:t>4. Annual Net Cost (Operations &amp; Maintenance only</a:t>
          </a:r>
          <a:r>
            <a:rPr lang="en-US" sz="1100">
              <a:solidFill>
                <a:schemeClr val="bg2">
                  <a:lumMod val="25000"/>
                </a:schemeClr>
              </a:solidFill>
              <a:effectLst/>
              <a:latin typeface="News Gothic MT" charset="0"/>
              <a:ea typeface="News Gothic MT" charset="0"/>
              <a:cs typeface="News Gothic MT" charset="0"/>
            </a:rPr>
            <a:t>): Removes the purchase and loan servicing cost of all capital equipment (vehicles and containers) from the Annual Net Cost (Total).</a:t>
          </a:r>
        </a:p>
        <a:p>
          <a:pPr lvl="0"/>
          <a:endParaRPr lang="en-US" sz="1100" b="1">
            <a:solidFill>
              <a:schemeClr val="bg2">
                <a:lumMod val="25000"/>
              </a:schemeClr>
            </a:solidFill>
            <a:effectLst/>
            <a:latin typeface="News Gothic MT" charset="0"/>
            <a:ea typeface="News Gothic MT" charset="0"/>
            <a:cs typeface="News Gothic MT" charset="0"/>
          </a:endParaRPr>
        </a:p>
        <a:p>
          <a:pPr lvl="0"/>
          <a:r>
            <a:rPr lang="en-US" sz="1100" b="1">
              <a:solidFill>
                <a:schemeClr val="bg2">
                  <a:lumMod val="25000"/>
                </a:schemeClr>
              </a:solidFill>
              <a:effectLst/>
              <a:latin typeface="News Gothic MT" charset="0"/>
              <a:ea typeface="News Gothic MT" charset="0"/>
              <a:cs typeface="News Gothic MT" charset="0"/>
            </a:rPr>
            <a:t>5. Cost per Household per Year:</a:t>
          </a:r>
          <a:r>
            <a:rPr lang="en-US" sz="1100">
              <a:solidFill>
                <a:schemeClr val="bg2">
                  <a:lumMod val="25000"/>
                </a:schemeClr>
              </a:solidFill>
              <a:effectLst/>
              <a:latin typeface="News Gothic MT" charset="0"/>
              <a:ea typeface="News Gothic MT" charset="0"/>
              <a:cs typeface="News Gothic MT" charset="0"/>
            </a:rPr>
            <a:t> The Annual Net Cost (Total) divided by the total number of households in the community. </a:t>
          </a:r>
          <a:r>
            <a:rPr lang="en-US" sz="1100" i="1">
              <a:solidFill>
                <a:schemeClr val="bg2">
                  <a:lumMod val="25000"/>
                </a:schemeClr>
              </a:solidFill>
              <a:effectLst/>
              <a:latin typeface="News Gothic MT" charset="0"/>
              <a:ea typeface="News Gothic MT" charset="0"/>
              <a:cs typeface="News Gothic MT" charset="0"/>
            </a:rPr>
            <a:t>Note: This is not the</a:t>
          </a:r>
          <a:r>
            <a:rPr lang="en-US" sz="1100" i="1" baseline="0">
              <a:solidFill>
                <a:schemeClr val="bg2">
                  <a:lumMod val="25000"/>
                </a:schemeClr>
              </a:solidFill>
              <a:effectLst/>
              <a:latin typeface="News Gothic MT" charset="0"/>
              <a:ea typeface="News Gothic MT" charset="0"/>
              <a:cs typeface="News Gothic MT" charset="0"/>
            </a:rPr>
            <a:t> same as</a:t>
          </a:r>
          <a:r>
            <a:rPr lang="en-US" sz="1100">
              <a:solidFill>
                <a:schemeClr val="bg2">
                  <a:lumMod val="25000"/>
                </a:schemeClr>
              </a:solidFill>
              <a:effectLst/>
              <a:latin typeface="News Gothic MT" charset="0"/>
              <a:ea typeface="News Gothic MT" charset="0"/>
              <a:cs typeface="News Gothic MT" charset="0"/>
            </a:rPr>
            <a:t> </a:t>
          </a:r>
          <a:r>
            <a:rPr lang="en-US" sz="1100" i="1">
              <a:solidFill>
                <a:schemeClr val="bg2">
                  <a:lumMod val="25000"/>
                </a:schemeClr>
              </a:solidFill>
              <a:effectLst/>
              <a:latin typeface="News Gothic MT" charset="0"/>
              <a:ea typeface="News Gothic MT" charset="0"/>
              <a:cs typeface="News Gothic MT" charset="0"/>
            </a:rPr>
            <a:t>the fee that would be charged to households for a program.</a:t>
          </a:r>
          <a:endParaRPr lang="en-US" sz="1100">
            <a:solidFill>
              <a:schemeClr val="bg2">
                <a:lumMod val="25000"/>
              </a:schemeClr>
            </a:solidFill>
            <a:effectLst/>
            <a:latin typeface="News Gothic MT" charset="0"/>
            <a:ea typeface="News Gothic MT" charset="0"/>
            <a:cs typeface="News Gothic MT" charset="0"/>
          </a:endParaRPr>
        </a:p>
        <a:p>
          <a:pPr lvl="0"/>
          <a:endParaRPr lang="en-US" sz="1100" b="1">
            <a:solidFill>
              <a:schemeClr val="bg2">
                <a:lumMod val="25000"/>
              </a:schemeClr>
            </a:solidFill>
            <a:effectLst/>
            <a:latin typeface="News Gothic MT" charset="0"/>
            <a:ea typeface="News Gothic MT" charset="0"/>
            <a:cs typeface="News Gothic MT" charset="0"/>
          </a:endParaRPr>
        </a:p>
        <a:p>
          <a:pPr lvl="0"/>
          <a:r>
            <a:rPr lang="en-US" sz="1100" b="1">
              <a:solidFill>
                <a:schemeClr val="bg2">
                  <a:lumMod val="25000"/>
                </a:schemeClr>
              </a:solidFill>
              <a:effectLst/>
              <a:latin typeface="News Gothic MT" charset="0"/>
              <a:ea typeface="News Gothic MT" charset="0"/>
              <a:cs typeface="News Gothic MT" charset="0"/>
            </a:rPr>
            <a:t>6. Cost per Ton Recycled:</a:t>
          </a:r>
          <a:r>
            <a:rPr lang="en-US" sz="1100">
              <a:solidFill>
                <a:schemeClr val="bg2">
                  <a:lumMod val="25000"/>
                </a:schemeClr>
              </a:solidFill>
              <a:effectLst/>
              <a:latin typeface="News Gothic MT" charset="0"/>
              <a:ea typeface="News Gothic MT" charset="0"/>
              <a:cs typeface="News Gothic MT" charset="0"/>
            </a:rPr>
            <a:t> The Annual Net Cost (Total) divided by the total number of tons recycled per year. Allows the user to easily compare the cost per ton for each program option.</a:t>
          </a:r>
        </a:p>
        <a:p>
          <a:pPr lvl="0"/>
          <a:endParaRPr lang="en-US" sz="1100" b="1">
            <a:solidFill>
              <a:schemeClr val="bg2">
                <a:lumMod val="25000"/>
              </a:schemeClr>
            </a:solidFill>
            <a:effectLst/>
            <a:latin typeface="News Gothic MT" charset="0"/>
            <a:ea typeface="News Gothic MT" charset="0"/>
            <a:cs typeface="News Gothic MT" charset="0"/>
          </a:endParaRPr>
        </a:p>
        <a:p>
          <a:pPr lvl="0"/>
          <a:r>
            <a:rPr lang="en-US" sz="1100" b="1">
              <a:solidFill>
                <a:schemeClr val="bg2">
                  <a:lumMod val="25000"/>
                </a:schemeClr>
              </a:solidFill>
              <a:effectLst/>
              <a:latin typeface="News Gothic MT" charset="0"/>
              <a:ea typeface="News Gothic MT" charset="0"/>
              <a:cs typeface="News Gothic MT" charset="0"/>
            </a:rPr>
            <a:t>7. Capital Cost (Total):</a:t>
          </a:r>
          <a:r>
            <a:rPr lang="en-US" sz="1100">
              <a:solidFill>
                <a:schemeClr val="bg2">
                  <a:lumMod val="25000"/>
                </a:schemeClr>
              </a:solidFill>
              <a:effectLst/>
              <a:latin typeface="News Gothic MT" charset="0"/>
              <a:ea typeface="News Gothic MT" charset="0"/>
              <a:cs typeface="News Gothic MT" charset="0"/>
            </a:rPr>
            <a:t> The total cost for all capital equipment.</a:t>
          </a:r>
        </a:p>
        <a:p>
          <a:pPr lvl="0"/>
          <a:endParaRPr lang="en-US" sz="1100" b="1">
            <a:solidFill>
              <a:schemeClr val="bg2">
                <a:lumMod val="25000"/>
              </a:schemeClr>
            </a:solidFill>
            <a:effectLst/>
            <a:latin typeface="News Gothic MT" charset="0"/>
            <a:ea typeface="News Gothic MT" charset="0"/>
            <a:cs typeface="News Gothic MT" charset="0"/>
          </a:endParaRPr>
        </a:p>
        <a:p>
          <a:pPr lvl="0"/>
          <a:r>
            <a:rPr lang="en-US" sz="1100" b="1">
              <a:solidFill>
                <a:schemeClr val="bg2">
                  <a:lumMod val="25000"/>
                </a:schemeClr>
              </a:solidFill>
              <a:effectLst/>
              <a:latin typeface="News Gothic MT" charset="0"/>
              <a:ea typeface="News Gothic MT" charset="0"/>
              <a:cs typeface="News Gothic MT" charset="0"/>
            </a:rPr>
            <a:t>8. Total Number of Vehicles:</a:t>
          </a:r>
          <a:r>
            <a:rPr lang="en-US" sz="1100">
              <a:solidFill>
                <a:schemeClr val="bg2">
                  <a:lumMod val="25000"/>
                </a:schemeClr>
              </a:solidFill>
              <a:effectLst/>
              <a:latin typeface="News Gothic MT" charset="0"/>
              <a:ea typeface="News Gothic MT" charset="0"/>
              <a:cs typeface="News Gothic MT" charset="0"/>
            </a:rPr>
            <a:t> The total number of vehicles, including collection vehicles (split bodied rear load or fully automated side load), back-up collection vehicles for larger fleets, supervisor pick-up trucks for route checks in larger communities, and cart delivery and maintenance vehicles in larger communities.</a:t>
          </a:r>
        </a:p>
        <a:p>
          <a:pPr lvl="0"/>
          <a:endParaRPr lang="en-US" sz="1100" b="1">
            <a:solidFill>
              <a:schemeClr val="bg2">
                <a:lumMod val="25000"/>
              </a:schemeClr>
            </a:solidFill>
            <a:effectLst/>
            <a:latin typeface="News Gothic MT" charset="0"/>
            <a:ea typeface="News Gothic MT" charset="0"/>
            <a:cs typeface="News Gothic MT" charset="0"/>
          </a:endParaRPr>
        </a:p>
        <a:p>
          <a:pPr lvl="0"/>
          <a:r>
            <a:rPr lang="en-US" sz="1100" b="1">
              <a:solidFill>
                <a:schemeClr val="bg2">
                  <a:lumMod val="25000"/>
                </a:schemeClr>
              </a:solidFill>
              <a:effectLst/>
              <a:latin typeface="News Gothic MT" charset="0"/>
              <a:ea typeface="News Gothic MT" charset="0"/>
              <a:cs typeface="News Gothic MT" charset="0"/>
            </a:rPr>
            <a:t>9. Total Number of Staff:</a:t>
          </a:r>
          <a:r>
            <a:rPr lang="en-US" sz="1100">
              <a:solidFill>
                <a:schemeClr val="bg2">
                  <a:lumMod val="25000"/>
                </a:schemeClr>
              </a:solidFill>
              <a:effectLst/>
              <a:latin typeface="News Gothic MT" charset="0"/>
              <a:ea typeface="News Gothic MT" charset="0"/>
              <a:cs typeface="News Gothic MT" charset="0"/>
            </a:rPr>
            <a:t> Includes the total number of staff needed to provide collection services, route supervisors and cart maintenance. Does not include administrative staff, fleet maintenance, billing staff or other support staff.</a:t>
          </a:r>
        </a:p>
        <a:p>
          <a:pPr lvl="0"/>
          <a:endParaRPr lang="en-US" sz="1100">
            <a:solidFill>
              <a:schemeClr val="bg2">
                <a:lumMod val="25000"/>
              </a:schemeClr>
            </a:solidFill>
            <a:effectLst/>
            <a:latin typeface="News Gothic MT" charset="0"/>
            <a:ea typeface="News Gothic MT" charset="0"/>
            <a:cs typeface="News Gothic MT"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bg2">
                  <a:lumMod val="25000"/>
                </a:schemeClr>
              </a:solidFill>
              <a:effectLst/>
              <a:latin typeface="News Gothic MT" charset="0"/>
              <a:ea typeface="News Gothic MT" charset="0"/>
              <a:cs typeface="News Gothic MT" charset="0"/>
            </a:rPr>
            <a:t>10. Total Number of Drop-Offs:</a:t>
          </a:r>
          <a:r>
            <a:rPr lang="en-US" sz="1100" b="1" baseline="0">
              <a:solidFill>
                <a:schemeClr val="bg2">
                  <a:lumMod val="25000"/>
                </a:schemeClr>
              </a:solidFill>
              <a:effectLst/>
              <a:latin typeface="News Gothic MT" charset="0"/>
              <a:ea typeface="News Gothic MT" charset="0"/>
              <a:cs typeface="News Gothic MT" charset="0"/>
            </a:rPr>
            <a:t> </a:t>
          </a:r>
          <a:r>
            <a:rPr lang="en-US" sz="1100">
              <a:solidFill>
                <a:schemeClr val="bg2">
                  <a:lumMod val="25000"/>
                </a:schemeClr>
              </a:solidFill>
              <a:effectLst/>
              <a:latin typeface="News Gothic MT" charset="0"/>
              <a:ea typeface="News Gothic MT" charset="0"/>
              <a:cs typeface="News Gothic MT" charset="0"/>
            </a:rPr>
            <a:t>This is the number </a:t>
          </a:r>
          <a:r>
            <a:rPr lang="en-US" sz="1100" baseline="0">
              <a:solidFill>
                <a:schemeClr val="bg2">
                  <a:lumMod val="25000"/>
                </a:schemeClr>
              </a:solidFill>
              <a:effectLst/>
              <a:latin typeface="News Gothic MT" charset="0"/>
              <a:ea typeface="News Gothic MT" charset="0"/>
              <a:cs typeface="News Gothic MT" charset="0"/>
            </a:rPr>
            <a:t>of recycling drop-off locations, based on an assumption that a drop-off location is required for a specific number of households, depending on the selected community type.</a:t>
          </a:r>
          <a:endParaRPr lang="en-US" sz="1100" b="1">
            <a:solidFill>
              <a:schemeClr val="bg2">
                <a:lumMod val="25000"/>
              </a:schemeClr>
            </a:solidFill>
            <a:effectLst/>
            <a:latin typeface="News Gothic MT" charset="0"/>
            <a:ea typeface="News Gothic MT" charset="0"/>
            <a:cs typeface="News Gothic MT" charset="0"/>
          </a:endParaRPr>
        </a:p>
        <a:p>
          <a:pPr lvl="0"/>
          <a:endParaRPr lang="en-US" sz="1100" b="1">
            <a:solidFill>
              <a:schemeClr val="bg2">
                <a:lumMod val="25000"/>
              </a:schemeClr>
            </a:solidFill>
            <a:effectLst/>
            <a:latin typeface="News Gothic MT" charset="0"/>
            <a:ea typeface="News Gothic MT" charset="0"/>
            <a:cs typeface="News Gothic MT" charset="0"/>
          </a:endParaRPr>
        </a:p>
        <a:p>
          <a:pPr lvl="0"/>
          <a:r>
            <a:rPr lang="en-US" sz="1100" b="1">
              <a:solidFill>
                <a:schemeClr val="bg2">
                  <a:lumMod val="25000"/>
                </a:schemeClr>
              </a:solidFill>
              <a:effectLst/>
              <a:latin typeface="News Gothic MT" charset="0"/>
              <a:ea typeface="News Gothic MT" charset="0"/>
              <a:cs typeface="News Gothic MT" charset="0"/>
            </a:rPr>
            <a:t>11. Capital Cost Vehicles:</a:t>
          </a:r>
          <a:r>
            <a:rPr lang="en-US" sz="1100">
              <a:solidFill>
                <a:schemeClr val="bg2">
                  <a:lumMod val="25000"/>
                </a:schemeClr>
              </a:solidFill>
              <a:effectLst/>
              <a:latin typeface="News Gothic MT" charset="0"/>
              <a:ea typeface="News Gothic MT" charset="0"/>
              <a:cs typeface="News Gothic MT" charset="0"/>
            </a:rPr>
            <a:t> The total capital cost of all vehicles, including interest.</a:t>
          </a:r>
        </a:p>
        <a:p>
          <a:pPr lvl="0"/>
          <a:endParaRPr lang="en-US" sz="1100" b="1">
            <a:solidFill>
              <a:schemeClr val="bg2">
                <a:lumMod val="25000"/>
              </a:schemeClr>
            </a:solidFill>
            <a:effectLst/>
            <a:latin typeface="News Gothic MT" charset="0"/>
            <a:ea typeface="News Gothic MT" charset="0"/>
            <a:cs typeface="News Gothic MT" charset="0"/>
          </a:endParaRPr>
        </a:p>
        <a:p>
          <a:pPr lvl="0"/>
          <a:r>
            <a:rPr lang="en-US" sz="1100" b="1">
              <a:solidFill>
                <a:schemeClr val="bg2">
                  <a:lumMod val="25000"/>
                </a:schemeClr>
              </a:solidFill>
              <a:effectLst/>
              <a:latin typeface="News Gothic MT" charset="0"/>
              <a:ea typeface="News Gothic MT" charset="0"/>
              <a:cs typeface="News Gothic MT" charset="0"/>
            </a:rPr>
            <a:t>12. Capital Cost Containers:</a:t>
          </a:r>
          <a:r>
            <a:rPr lang="en-US" sz="1100">
              <a:solidFill>
                <a:schemeClr val="bg2">
                  <a:lumMod val="25000"/>
                </a:schemeClr>
              </a:solidFill>
              <a:effectLst/>
              <a:latin typeface="News Gothic MT" charset="0"/>
              <a:ea typeface="News Gothic MT" charset="0"/>
              <a:cs typeface="News Gothic MT" charset="0"/>
            </a:rPr>
            <a:t> The total capital cost of containers, including interest.</a:t>
          </a:r>
        </a:p>
        <a:p>
          <a:pPr lvl="0"/>
          <a:endParaRPr lang="en-US" sz="1100">
            <a:solidFill>
              <a:schemeClr val="bg2">
                <a:lumMod val="25000"/>
              </a:schemeClr>
            </a:solidFill>
            <a:effectLst/>
            <a:latin typeface="News Gothic MT" charset="0"/>
            <a:ea typeface="News Gothic MT" charset="0"/>
            <a:cs typeface="News Gothic MT" charset="0"/>
          </a:endParaRPr>
        </a:p>
        <a:p>
          <a:pPr lvl="0"/>
          <a:r>
            <a:rPr lang="en-US" sz="1100" b="1">
              <a:solidFill>
                <a:schemeClr val="bg2">
                  <a:lumMod val="25000"/>
                </a:schemeClr>
              </a:solidFill>
              <a:effectLst/>
              <a:latin typeface="News Gothic MT" charset="0"/>
              <a:ea typeface="News Gothic MT" charset="0"/>
              <a:cs typeface="News Gothic MT" charset="0"/>
            </a:rPr>
            <a:t>13. Annual Cost for Drop-Off Sites (Total): </a:t>
          </a:r>
          <a:r>
            <a:rPr lang="en-US" sz="1100">
              <a:solidFill>
                <a:schemeClr val="bg2">
                  <a:lumMod val="25000"/>
                </a:schemeClr>
              </a:solidFill>
              <a:effectLst/>
              <a:latin typeface="News Gothic MT" charset="0"/>
              <a:ea typeface="News Gothic MT" charset="0"/>
              <a:cs typeface="News Gothic MT" charset="0"/>
            </a:rPr>
            <a:t>The total annual cost</a:t>
          </a:r>
          <a:r>
            <a:rPr lang="en-US" sz="1100" baseline="0">
              <a:solidFill>
                <a:schemeClr val="bg2">
                  <a:lumMod val="25000"/>
                </a:schemeClr>
              </a:solidFill>
              <a:effectLst/>
              <a:latin typeface="News Gothic MT" charset="0"/>
              <a:ea typeface="News Gothic MT" charset="0"/>
              <a:cs typeface="News Gothic MT" charset="0"/>
            </a:rPr>
            <a:t> to build and outfit enough drop-off sites to adequately service the entire community. Includes cost to pave, signage, and minimum three roll-off containers. Does not include full time staff at each site or power. Drop-off site building costs are amortized over 20 years and includes interest and inflation. Container costs are amortized over 7 years and include interest.</a:t>
          </a:r>
          <a:endParaRPr lang="en-US" sz="1100">
            <a:solidFill>
              <a:schemeClr val="bg2">
                <a:lumMod val="25000"/>
              </a:schemeClr>
            </a:solidFill>
            <a:effectLst/>
            <a:latin typeface="News Gothic MT" charset="0"/>
            <a:ea typeface="News Gothic MT" charset="0"/>
            <a:cs typeface="News Gothic MT" charset="0"/>
          </a:endParaRPr>
        </a:p>
        <a:p>
          <a:r>
            <a:rPr lang="en-US" sz="1100">
              <a:solidFill>
                <a:srgbClr val="000000"/>
              </a:solidFill>
              <a:effectLst/>
              <a:latin typeface="News Gothic MT" charset="0"/>
              <a:ea typeface="News Gothic MT" charset="0"/>
              <a:cs typeface="News Gothic MT" charset="0"/>
            </a:rPr>
            <a:t> </a:t>
          </a:r>
        </a:p>
        <a:p>
          <a:pPr algn="l"/>
          <a:r>
            <a:rPr lang="en-US" sz="2400" b="1">
              <a:solidFill>
                <a:srgbClr val="009394"/>
              </a:solidFill>
              <a:effectLst/>
              <a:latin typeface="Gill Sans MT Condensed" charset="0"/>
              <a:ea typeface="Gill Sans MT Condensed" charset="0"/>
              <a:cs typeface="Gill Sans MT Condensed" charset="0"/>
            </a:rPr>
            <a:t>DETAILED DESCRIPTIONS OF PROGRAMS</a:t>
          </a:r>
        </a:p>
        <a:p>
          <a:r>
            <a:rPr lang="en-US" sz="1200" b="1">
              <a:solidFill>
                <a:srgbClr val="92D050"/>
              </a:solidFill>
              <a:effectLst/>
              <a:latin typeface="News Gothic MT" charset="0"/>
              <a:ea typeface="News Gothic MT" charset="0"/>
              <a:cs typeface="News Gothic MT" charset="0"/>
            </a:rPr>
            <a:t>DROP-OFF</a:t>
          </a:r>
          <a:endParaRPr lang="en-US" sz="1200">
            <a:solidFill>
              <a:srgbClr val="92D050"/>
            </a:solidFill>
            <a:effectLst/>
            <a:latin typeface="News Gothic MT" charset="0"/>
            <a:ea typeface="News Gothic MT" charset="0"/>
            <a:cs typeface="News Gothic MT" charset="0"/>
          </a:endParaRPr>
        </a:p>
        <a:p>
          <a:r>
            <a:rPr lang="en-US" sz="1100" b="1">
              <a:solidFill>
                <a:schemeClr val="bg2">
                  <a:lumMod val="25000"/>
                </a:schemeClr>
              </a:solidFill>
              <a:effectLst/>
              <a:latin typeface="News Gothic MT" charset="0"/>
              <a:ea typeface="News Gothic MT" charset="0"/>
              <a:cs typeface="News Gothic MT" charset="0"/>
            </a:rPr>
            <a:t>Comprehensive Drop-Off</a:t>
          </a:r>
          <a:r>
            <a:rPr lang="en-US" sz="1100">
              <a:solidFill>
                <a:schemeClr val="bg2">
                  <a:lumMod val="25000"/>
                </a:schemeClr>
              </a:solidFill>
              <a:effectLst/>
              <a:latin typeface="News Gothic MT" charset="0"/>
              <a:ea typeface="News Gothic MT" charset="0"/>
              <a:cs typeface="News Gothic MT" charset="0"/>
            </a:rPr>
            <a:t> – A</a:t>
          </a:r>
          <a:r>
            <a:rPr lang="en-US" sz="1100" baseline="0">
              <a:solidFill>
                <a:schemeClr val="bg2">
                  <a:lumMod val="25000"/>
                </a:schemeClr>
              </a:solidFill>
              <a:effectLst/>
              <a:latin typeface="News Gothic MT" charset="0"/>
              <a:ea typeface="News Gothic MT" charset="0"/>
              <a:cs typeface="News Gothic MT" charset="0"/>
            </a:rPr>
            <a:t> comprehensive drop-off is a facility for the collection of single-stream or dual-stream materials at a developed site that is paved, has a minimum of three roll-off recycling containers, and is serviced on a regular schedule with the material then taken to a transfer station of an existing regional MRF that is within 15 miles of the location </a:t>
          </a:r>
        </a:p>
        <a:p>
          <a:endParaRPr lang="en-US" sz="1100" b="1">
            <a:solidFill>
              <a:schemeClr val="bg2">
                <a:lumMod val="25000"/>
              </a:schemeClr>
            </a:solidFill>
            <a:effectLst/>
            <a:latin typeface="News Gothic MT" charset="0"/>
            <a:ea typeface="News Gothic MT" charset="0"/>
            <a:cs typeface="News Gothic MT" charset="0"/>
          </a:endParaRPr>
        </a:p>
        <a:p>
          <a:r>
            <a:rPr lang="en-US" sz="1200" b="1">
              <a:solidFill>
                <a:srgbClr val="92D050"/>
              </a:solidFill>
              <a:effectLst/>
              <a:latin typeface="News Gothic MT" charset="0"/>
              <a:ea typeface="News Gothic MT" charset="0"/>
              <a:cs typeface="News Gothic MT" charset="0"/>
            </a:rPr>
            <a:t>DUAL STREAM WITH BINS</a:t>
          </a:r>
          <a:endParaRPr lang="en-US" sz="1200">
            <a:solidFill>
              <a:srgbClr val="92D050"/>
            </a:solidFill>
            <a:effectLst/>
            <a:latin typeface="News Gothic MT" charset="0"/>
            <a:ea typeface="News Gothic MT" charset="0"/>
            <a:cs typeface="News Gothic MT" charset="0"/>
          </a:endParaRPr>
        </a:p>
        <a:p>
          <a:r>
            <a:rPr lang="en-US" sz="1100" b="1">
              <a:solidFill>
                <a:schemeClr val="bg2">
                  <a:lumMod val="25000"/>
                </a:schemeClr>
              </a:solidFill>
              <a:effectLst/>
              <a:latin typeface="News Gothic MT" charset="0"/>
              <a:ea typeface="News Gothic MT" charset="0"/>
              <a:cs typeface="News Gothic MT" charset="0"/>
            </a:rPr>
            <a:t>Dual Stream Program with Bins, Every Other Week Collection:</a:t>
          </a:r>
          <a:r>
            <a:rPr lang="en-US" sz="1100">
              <a:solidFill>
                <a:schemeClr val="bg2">
                  <a:lumMod val="25000"/>
                </a:schemeClr>
              </a:solidFill>
              <a:effectLst/>
              <a:latin typeface="News Gothic MT" charset="0"/>
              <a:ea typeface="News Gothic MT" charset="0"/>
              <a:cs typeface="News Gothic MT" charset="0"/>
            </a:rPr>
            <a:t> Recyclables are collected manually in two 18-gallon open-topped containers. Collection occurs at the curb or in the alley and containers are emptied into split-bodied manual rear load trucks. Each truck requires two staff members, one to drive and one to empty containers. Each household in the community is provided with two containers, one container is used to collect fibers (paper, cardboard, paperboard, newspapers</a:t>
          </a:r>
          <a:r>
            <a:rPr lang="en-US" sz="1100" baseline="0">
              <a:solidFill>
                <a:schemeClr val="bg2">
                  <a:lumMod val="25000"/>
                </a:schemeClr>
              </a:solidFill>
              <a:effectLst/>
              <a:latin typeface="News Gothic MT" charset="0"/>
              <a:ea typeface="News Gothic MT" charset="0"/>
              <a:cs typeface="News Gothic MT" charset="0"/>
            </a:rPr>
            <a:t> and</a:t>
          </a:r>
          <a:r>
            <a:rPr lang="en-US" sz="1100">
              <a:solidFill>
                <a:schemeClr val="bg2">
                  <a:lumMod val="25000"/>
                </a:schemeClr>
              </a:solidFill>
              <a:effectLst/>
              <a:latin typeface="News Gothic MT" charset="0"/>
              <a:ea typeface="News Gothic MT" charset="0"/>
              <a:cs typeface="News Gothic MT" charset="0"/>
            </a:rPr>
            <a:t> magazines) and the second container is used to collect containers (aluminum, tin and steel cans, plastic jugs and tubs, and glass bottles). Collection occurs on an every-other-week basis, meaning that on Week 1, half of the community is provided service and on Week 2, the other half of the community is provided service.</a:t>
          </a:r>
        </a:p>
        <a:p>
          <a:endParaRPr lang="en-US" sz="1100" b="1">
            <a:solidFill>
              <a:schemeClr val="bg2">
                <a:lumMod val="25000"/>
              </a:schemeClr>
            </a:solidFill>
            <a:effectLst/>
            <a:latin typeface="News Gothic MT" charset="0"/>
            <a:ea typeface="News Gothic MT" charset="0"/>
            <a:cs typeface="News Gothic MT" charset="0"/>
          </a:endParaRPr>
        </a:p>
        <a:p>
          <a:r>
            <a:rPr lang="en-US" sz="1100" b="1">
              <a:solidFill>
                <a:schemeClr val="bg2">
                  <a:lumMod val="25000"/>
                </a:schemeClr>
              </a:solidFill>
              <a:effectLst/>
              <a:latin typeface="News Gothic MT" charset="0"/>
              <a:ea typeface="News Gothic MT" charset="0"/>
              <a:cs typeface="News Gothic MT" charset="0"/>
            </a:rPr>
            <a:t>Dual Steam Program with Bins, Weekly Collection:</a:t>
          </a:r>
          <a:r>
            <a:rPr lang="en-US" sz="1100">
              <a:solidFill>
                <a:schemeClr val="bg2">
                  <a:lumMod val="25000"/>
                </a:schemeClr>
              </a:solidFill>
              <a:effectLst/>
              <a:latin typeface="News Gothic MT" charset="0"/>
              <a:ea typeface="News Gothic MT" charset="0"/>
              <a:cs typeface="News Gothic MT" charset="0"/>
            </a:rPr>
            <a:t> Same as program above except collection occurs for the entire community on a weekly basis.</a:t>
          </a:r>
        </a:p>
        <a:p>
          <a:endParaRPr lang="en-US" sz="1100" b="1">
            <a:solidFill>
              <a:schemeClr val="bg2">
                <a:lumMod val="25000"/>
              </a:schemeClr>
            </a:solidFill>
            <a:effectLst/>
            <a:latin typeface="News Gothic MT" charset="0"/>
            <a:ea typeface="News Gothic MT" charset="0"/>
            <a:cs typeface="News Gothic MT" charset="0"/>
          </a:endParaRPr>
        </a:p>
        <a:p>
          <a:r>
            <a:rPr lang="en-US" sz="1200" b="1">
              <a:solidFill>
                <a:srgbClr val="92D050"/>
              </a:solidFill>
              <a:effectLst/>
              <a:latin typeface="News Gothic MT" charset="0"/>
              <a:ea typeface="News Gothic MT" charset="0"/>
              <a:cs typeface="News Gothic MT" charset="0"/>
            </a:rPr>
            <a:t>DUAL STREAM WITH CARTS</a:t>
          </a:r>
          <a:endParaRPr lang="en-US" sz="1200">
            <a:solidFill>
              <a:srgbClr val="92D050"/>
            </a:solidFill>
            <a:effectLst/>
            <a:latin typeface="News Gothic MT" charset="0"/>
            <a:ea typeface="News Gothic MT" charset="0"/>
            <a:cs typeface="News Gothic MT" charset="0"/>
          </a:endParaRPr>
        </a:p>
        <a:p>
          <a:r>
            <a:rPr lang="en-US" sz="1100" b="1">
              <a:solidFill>
                <a:schemeClr val="bg2">
                  <a:lumMod val="25000"/>
                </a:schemeClr>
              </a:solidFill>
              <a:effectLst/>
              <a:latin typeface="News Gothic MT" charset="0"/>
              <a:ea typeface="News Gothic MT" charset="0"/>
              <a:cs typeface="News Gothic MT" charset="0"/>
            </a:rPr>
            <a:t>Dual Stream Program with Carts, Every Other Week Collection:</a:t>
          </a:r>
          <a:r>
            <a:rPr lang="en-US" sz="1100">
              <a:solidFill>
                <a:schemeClr val="bg2">
                  <a:lumMod val="25000"/>
                </a:schemeClr>
              </a:solidFill>
              <a:effectLst/>
              <a:latin typeface="News Gothic MT" charset="0"/>
              <a:ea typeface="News Gothic MT" charset="0"/>
              <a:cs typeface="News Gothic MT" charset="0"/>
            </a:rPr>
            <a:t> Recyclables are collected in two 65-gallon lidded and wheeled carts. Collection occurs at the curb or in the alley and containers are emptied using fully automated side loading trucks. Each truck is staffed by one employee. Each household in the community is provided with two containers: one container is used to collect fibers (paper, cardboard, paperboard, newspapers</a:t>
          </a:r>
          <a:r>
            <a:rPr lang="en-US" sz="1100" baseline="0">
              <a:solidFill>
                <a:schemeClr val="bg2">
                  <a:lumMod val="25000"/>
                </a:schemeClr>
              </a:solidFill>
              <a:effectLst/>
              <a:latin typeface="News Gothic MT" charset="0"/>
              <a:ea typeface="News Gothic MT" charset="0"/>
              <a:cs typeface="News Gothic MT" charset="0"/>
            </a:rPr>
            <a:t> and</a:t>
          </a:r>
          <a:r>
            <a:rPr lang="en-US" sz="1100">
              <a:solidFill>
                <a:schemeClr val="bg2">
                  <a:lumMod val="25000"/>
                </a:schemeClr>
              </a:solidFill>
              <a:effectLst/>
              <a:latin typeface="News Gothic MT" charset="0"/>
              <a:ea typeface="News Gothic MT" charset="0"/>
              <a:cs typeface="News Gothic MT" charset="0"/>
            </a:rPr>
            <a:t> magazines) and the second container is used to collect containers (aluminum, tin and steel cans, plastic jugs and tubs, and glass bottles). Collection occurs on an every-other-week alternating basis, meaning that on Week 1 the entire community receives collection of their fibers cart, and on Week 2, the entire community receives collection of their containers</a:t>
          </a:r>
          <a:r>
            <a:rPr lang="en-US" sz="1100" baseline="0">
              <a:solidFill>
                <a:schemeClr val="bg2">
                  <a:lumMod val="25000"/>
                </a:schemeClr>
              </a:solidFill>
              <a:effectLst/>
              <a:latin typeface="News Gothic MT" charset="0"/>
              <a:ea typeface="News Gothic MT" charset="0"/>
              <a:cs typeface="News Gothic MT" charset="0"/>
            </a:rPr>
            <a:t> </a:t>
          </a:r>
          <a:r>
            <a:rPr lang="en-US" sz="1100">
              <a:solidFill>
                <a:schemeClr val="bg2">
                  <a:lumMod val="25000"/>
                </a:schemeClr>
              </a:solidFill>
              <a:effectLst/>
              <a:latin typeface="News Gothic MT" charset="0"/>
              <a:ea typeface="News Gothic MT" charset="0"/>
              <a:cs typeface="News Gothic MT" charset="0"/>
            </a:rPr>
            <a:t>cart.</a:t>
          </a:r>
        </a:p>
        <a:p>
          <a:endParaRPr lang="en-US" sz="1100" b="1">
            <a:solidFill>
              <a:schemeClr val="bg2">
                <a:lumMod val="25000"/>
              </a:schemeClr>
            </a:solidFill>
            <a:effectLst/>
            <a:latin typeface="News Gothic MT" charset="0"/>
            <a:ea typeface="News Gothic MT" charset="0"/>
            <a:cs typeface="News Gothic MT" charset="0"/>
          </a:endParaRPr>
        </a:p>
        <a:p>
          <a:r>
            <a:rPr lang="en-US" sz="1100" b="1">
              <a:solidFill>
                <a:schemeClr val="bg2">
                  <a:lumMod val="25000"/>
                </a:schemeClr>
              </a:solidFill>
              <a:effectLst/>
              <a:latin typeface="News Gothic MT" charset="0"/>
              <a:ea typeface="News Gothic MT" charset="0"/>
              <a:cs typeface="News Gothic MT" charset="0"/>
            </a:rPr>
            <a:t>Dual Steam Program with Carts, Weekly Collection:</a:t>
          </a:r>
          <a:r>
            <a:rPr lang="en-US" sz="1100">
              <a:solidFill>
                <a:schemeClr val="bg2">
                  <a:lumMod val="25000"/>
                </a:schemeClr>
              </a:solidFill>
              <a:effectLst/>
              <a:latin typeface="News Gothic MT" charset="0"/>
              <a:ea typeface="News Gothic MT" charset="0"/>
              <a:cs typeface="News Gothic MT" charset="0"/>
            </a:rPr>
            <a:t> Same as program above except collection occurs for both carts (fibers and containers) for the entire community on a weekly basis.</a:t>
          </a:r>
        </a:p>
        <a:p>
          <a:endParaRPr lang="en-US" sz="1100" b="1">
            <a:solidFill>
              <a:schemeClr val="bg2">
                <a:lumMod val="25000"/>
              </a:schemeClr>
            </a:solidFill>
            <a:effectLst/>
            <a:latin typeface="News Gothic MT" charset="0"/>
            <a:ea typeface="News Gothic MT" charset="0"/>
            <a:cs typeface="News Gothic MT" charset="0"/>
          </a:endParaRPr>
        </a:p>
        <a:p>
          <a:r>
            <a:rPr lang="en-US" sz="1200" b="1">
              <a:solidFill>
                <a:srgbClr val="92D050"/>
              </a:solidFill>
              <a:effectLst/>
              <a:latin typeface="News Gothic MT" charset="0"/>
              <a:ea typeface="News Gothic MT" charset="0"/>
              <a:cs typeface="News Gothic MT" charset="0"/>
            </a:rPr>
            <a:t>SINGLE STREAM WITH CARTS</a:t>
          </a:r>
          <a:endParaRPr lang="en-US" sz="1200">
            <a:solidFill>
              <a:srgbClr val="92D050"/>
            </a:solidFill>
            <a:effectLst/>
            <a:latin typeface="News Gothic MT" charset="0"/>
            <a:ea typeface="News Gothic MT" charset="0"/>
            <a:cs typeface="News Gothic MT" charset="0"/>
          </a:endParaRPr>
        </a:p>
        <a:p>
          <a:r>
            <a:rPr lang="en-US" sz="1100" b="1">
              <a:solidFill>
                <a:schemeClr val="bg2">
                  <a:lumMod val="25000"/>
                </a:schemeClr>
              </a:solidFill>
              <a:effectLst/>
              <a:latin typeface="News Gothic MT" charset="0"/>
              <a:ea typeface="News Gothic MT" charset="0"/>
              <a:cs typeface="News Gothic MT" charset="0"/>
            </a:rPr>
            <a:t>Single Stream Program with Carts, Every Other Week Collection</a:t>
          </a:r>
          <a:r>
            <a:rPr lang="en-US" sz="1100">
              <a:solidFill>
                <a:schemeClr val="bg2">
                  <a:lumMod val="25000"/>
                </a:schemeClr>
              </a:solidFill>
              <a:effectLst/>
              <a:latin typeface="News Gothic MT" charset="0"/>
              <a:ea typeface="News Gothic MT" charset="0"/>
              <a:cs typeface="News Gothic MT" charset="0"/>
            </a:rPr>
            <a:t>: Recyclables are collected in a single 95-gallon lidded and wheeled cart. Collection occurs at the curb or in the alley and the container is emptied using fully automated side loading trucks. Each truck is staffed by one employee. Each household in the community is provided with one container and all recyclables (paper, cardboard, paperboard, newspapers, magazines, aluminum, tin, and steel cans, plastic jugs and tubs, glass bottles) are collected together. Collection occurs on an every-other-week basis meaning that on Week 1, half of the community is provided service and on Week 2, the other half of the community is provided service.</a:t>
          </a:r>
        </a:p>
        <a:p>
          <a:endParaRPr lang="en-US" sz="1100" b="1">
            <a:solidFill>
              <a:schemeClr val="bg2">
                <a:lumMod val="25000"/>
              </a:schemeClr>
            </a:solidFill>
            <a:effectLst/>
            <a:latin typeface="News Gothic MT" charset="0"/>
            <a:ea typeface="News Gothic MT" charset="0"/>
            <a:cs typeface="News Gothic MT" charset="0"/>
          </a:endParaRPr>
        </a:p>
        <a:p>
          <a:r>
            <a:rPr lang="en-US" sz="1100" b="1">
              <a:solidFill>
                <a:schemeClr val="bg2">
                  <a:lumMod val="25000"/>
                </a:schemeClr>
              </a:solidFill>
              <a:effectLst/>
              <a:latin typeface="News Gothic MT" charset="0"/>
              <a:ea typeface="News Gothic MT" charset="0"/>
              <a:cs typeface="News Gothic MT" charset="0"/>
            </a:rPr>
            <a:t>Single Stream Program with Carts, Weekly Collection:</a:t>
          </a:r>
          <a:r>
            <a:rPr lang="en-US" sz="1100">
              <a:solidFill>
                <a:schemeClr val="bg2">
                  <a:lumMod val="25000"/>
                </a:schemeClr>
              </a:solidFill>
              <a:effectLst/>
              <a:latin typeface="News Gothic MT" charset="0"/>
              <a:ea typeface="News Gothic MT" charset="0"/>
              <a:cs typeface="News Gothic MT" charset="0"/>
            </a:rPr>
            <a:t> Same as program above except collection occurs for the entire community on a weekly basis.</a:t>
          </a:r>
        </a:p>
        <a:p>
          <a:endParaRPr lang="en-US" sz="1100">
            <a:solidFill>
              <a:srgbClr val="000000"/>
            </a:solidFill>
            <a:effectLst/>
            <a:latin typeface="News Gothic MT" charset="0"/>
            <a:ea typeface="News Gothic MT" charset="0"/>
            <a:cs typeface="News Gothic MT" charset="0"/>
          </a:endParaRPr>
        </a:p>
        <a:p>
          <a:endParaRPr lang="en-US" sz="1100">
            <a:solidFill>
              <a:srgbClr val="000000"/>
            </a:solidFill>
            <a:effectLst/>
            <a:latin typeface="News Gothic MT" charset="0"/>
            <a:ea typeface="News Gothic MT" charset="0"/>
            <a:cs typeface="News Gothic MT" charset="0"/>
          </a:endParaRPr>
        </a:p>
        <a:p>
          <a:endParaRPr lang="en-US" sz="1100">
            <a:solidFill>
              <a:srgbClr val="000000"/>
            </a:solidFill>
            <a:effectLst/>
            <a:latin typeface="News Gothic MT" charset="0"/>
            <a:ea typeface="News Gothic MT" charset="0"/>
            <a:cs typeface="News Gothic MT"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                                                                                                          </a:t>
          </a:r>
          <a:r>
            <a:rPr lang="en-US" sz="1200" b="1" i="1">
              <a:solidFill>
                <a:schemeClr val="accent4">
                  <a:lumMod val="50000"/>
                </a:schemeClr>
              </a:solidFill>
              <a:effectLst/>
              <a:latin typeface="+mj-lt"/>
              <a:ea typeface="+mn-ea"/>
              <a:cs typeface="+mn-cs"/>
            </a:rPr>
            <a:t>Managing change in a resource-constrained world  </a:t>
          </a:r>
          <a:r>
            <a:rPr lang="en-US" sz="1200">
              <a:solidFill>
                <a:schemeClr val="accent2">
                  <a:lumMod val="75000"/>
                </a:schemeClr>
              </a:solidFill>
              <a:effectLst/>
              <a:latin typeface="+mj-lt"/>
              <a:ea typeface="+mn-ea"/>
              <a:cs typeface="+mn-cs"/>
            </a:rPr>
            <a:t>www.recycle.com</a:t>
          </a:r>
          <a:endParaRPr lang="en-US" sz="1200">
            <a:solidFill>
              <a:schemeClr val="accent2">
                <a:lumMod val="75000"/>
              </a:schemeClr>
            </a:solidFill>
            <a:effectLst/>
            <a:latin typeface="+mj-lt"/>
          </a:endParaRPr>
        </a:p>
        <a:p>
          <a:endParaRPr lang="en-US" sz="1100">
            <a:solidFill>
              <a:srgbClr val="000000"/>
            </a:solidFill>
            <a:effectLst/>
            <a:latin typeface="News Gothic MT" charset="0"/>
            <a:ea typeface="News Gothic MT" charset="0"/>
            <a:cs typeface="News Gothic MT" charset="0"/>
          </a:endParaRPr>
        </a:p>
      </xdr:txBody>
    </xdr:sp>
    <xdr:clientData/>
  </xdr:twoCellAnchor>
  <xdr:twoCellAnchor>
    <xdr:from>
      <xdr:col>1</xdr:col>
      <xdr:colOff>3174</xdr:colOff>
      <xdr:row>21</xdr:row>
      <xdr:rowOff>85725</xdr:rowOff>
    </xdr:from>
    <xdr:to>
      <xdr:col>9</xdr:col>
      <xdr:colOff>47624</xdr:colOff>
      <xdr:row>25</xdr:row>
      <xdr:rowOff>101600</xdr:rowOff>
    </xdr:to>
    <xdr:sp macro="" textlink="">
      <xdr:nvSpPr>
        <xdr:cNvPr id="4" name="TextBox 3"/>
        <xdr:cNvSpPr txBox="1"/>
      </xdr:nvSpPr>
      <xdr:spPr>
        <a:xfrm>
          <a:off x="360362" y="6324600"/>
          <a:ext cx="10402887" cy="682625"/>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3200">
              <a:solidFill>
                <a:schemeClr val="bg1"/>
              </a:solidFill>
              <a:latin typeface="Gill Sans MT Condensed" charset="0"/>
              <a:ea typeface="Gill Sans MT Condensed" charset="0"/>
              <a:cs typeface="Gill Sans MT Condensed" charset="0"/>
            </a:rPr>
            <a:t>INTERPRETING YOUR RESULTS</a:t>
          </a:r>
        </a:p>
      </xdr:txBody>
    </xdr:sp>
    <xdr:clientData/>
  </xdr:twoCellAnchor>
  <xdr:twoCellAnchor editAs="oneCell">
    <xdr:from>
      <xdr:col>7</xdr:col>
      <xdr:colOff>752475</xdr:colOff>
      <xdr:row>118</xdr:row>
      <xdr:rowOff>123825</xdr:rowOff>
    </xdr:from>
    <xdr:to>
      <xdr:col>8</xdr:col>
      <xdr:colOff>747032</xdr:colOff>
      <xdr:row>122</xdr:row>
      <xdr:rowOff>38100</xdr:rowOff>
    </xdr:to>
    <xdr:pic>
      <xdr:nvPicPr>
        <xdr:cNvPr id="6" name="Picture 5" descr="RRSlogosmall"/>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22278975"/>
          <a:ext cx="1070882" cy="5619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31589</xdr:colOff>
      <xdr:row>19</xdr:row>
      <xdr:rowOff>81639</xdr:rowOff>
    </xdr:from>
    <xdr:to>
      <xdr:col>5</xdr:col>
      <xdr:colOff>37421</xdr:colOff>
      <xdr:row>92</xdr:row>
      <xdr:rowOff>25978</xdr:rowOff>
    </xdr:to>
    <xdr:sp macro="" textlink="">
      <xdr:nvSpPr>
        <xdr:cNvPr id="2" name="TextBox 1"/>
        <xdr:cNvSpPr txBox="1"/>
      </xdr:nvSpPr>
      <xdr:spPr>
        <a:xfrm>
          <a:off x="239407" y="4670957"/>
          <a:ext cx="6422219" cy="1195449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tIns="91440" rIns="182880" bIns="91440"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chemeClr val="bg2">
                  <a:lumMod val="25000"/>
                </a:schemeClr>
              </a:solidFill>
              <a:effectLst/>
              <a:latin typeface="News Gothic MT" charset="0"/>
              <a:ea typeface="News Gothic MT" charset="0"/>
              <a:cs typeface="News Gothic MT" charset="0"/>
            </a:rPr>
            <a:t>The </a:t>
          </a:r>
          <a:r>
            <a:rPr lang="en-US" sz="1000">
              <a:solidFill>
                <a:schemeClr val="bg2">
                  <a:lumMod val="25000"/>
                </a:schemeClr>
              </a:solidFill>
              <a:effectLst/>
              <a:latin typeface="News Gothic MT" charset="0"/>
              <a:ea typeface="News Gothic MT" charset="0"/>
              <a:cs typeface="News Gothic MT" charset="0"/>
            </a:rPr>
            <a:t>results allow the user to compare the impacts and costs of direct haul,</a:t>
          </a:r>
          <a:r>
            <a:rPr lang="en-US" sz="1000" baseline="0">
              <a:solidFill>
                <a:schemeClr val="bg2">
                  <a:lumMod val="25000"/>
                </a:schemeClr>
              </a:solidFill>
              <a:effectLst/>
              <a:latin typeface="News Gothic MT" charset="0"/>
              <a:ea typeface="News Gothic MT" charset="0"/>
              <a:cs typeface="News Gothic MT" charset="0"/>
            </a:rPr>
            <a:t> </a:t>
          </a:r>
          <a:r>
            <a:rPr lang="en-US" sz="1000">
              <a:solidFill>
                <a:schemeClr val="bg2">
                  <a:lumMod val="25000"/>
                </a:schemeClr>
              </a:solidFill>
              <a:effectLst/>
              <a:latin typeface="News Gothic MT" charset="0"/>
              <a:ea typeface="News Gothic MT" charset="0"/>
              <a:cs typeface="News Gothic MT" charset="0"/>
            </a:rPr>
            <a:t> building a transfer station and transferring to a MRF, versus a building</a:t>
          </a:r>
          <a:r>
            <a:rPr lang="en-US" sz="1000" baseline="0">
              <a:solidFill>
                <a:schemeClr val="bg2">
                  <a:lumMod val="25000"/>
                </a:schemeClr>
              </a:solidFill>
              <a:effectLst/>
              <a:latin typeface="News Gothic MT" charset="0"/>
              <a:ea typeface="News Gothic MT" charset="0"/>
              <a:cs typeface="News Gothic MT" charset="0"/>
            </a:rPr>
            <a:t> a regional</a:t>
          </a:r>
          <a:r>
            <a:rPr lang="en-US" sz="1000">
              <a:solidFill>
                <a:schemeClr val="bg2">
                  <a:lumMod val="25000"/>
                </a:schemeClr>
              </a:solidFill>
              <a:effectLst/>
              <a:latin typeface="News Gothic MT" charset="0"/>
              <a:ea typeface="News Gothic MT" charset="0"/>
              <a:cs typeface="News Gothic MT" charset="0"/>
            </a:rPr>
            <a:t> MRF.  The following notes help define these outputs.  </a:t>
          </a:r>
        </a:p>
        <a:p>
          <a:endParaRPr lang="en-US" sz="1200" b="1">
            <a:solidFill>
              <a:srgbClr val="000000"/>
            </a:solidFill>
            <a:effectLst/>
            <a:latin typeface="News Gothic MT" charset="0"/>
            <a:ea typeface="News Gothic MT" charset="0"/>
            <a:cs typeface="News Gothic MT" charset="0"/>
          </a:endParaRPr>
        </a:p>
        <a:p>
          <a:pPr algn="l"/>
          <a:r>
            <a:rPr lang="en-US" sz="2400" b="1">
              <a:solidFill>
                <a:srgbClr val="009394"/>
              </a:solidFill>
              <a:effectLst/>
              <a:latin typeface="Gill Sans MT Condensed" panose="020B0506020104020203" pitchFamily="34" charset="0"/>
              <a:ea typeface="News Gothic MT" charset="0"/>
              <a:cs typeface="News Gothic MT" charset="0"/>
            </a:rPr>
            <a:t>OUTPUT</a:t>
          </a:r>
          <a:r>
            <a:rPr lang="en-US" sz="2400" b="1" baseline="0">
              <a:solidFill>
                <a:srgbClr val="009394"/>
              </a:solidFill>
              <a:effectLst/>
              <a:latin typeface="Gill Sans MT Condensed" panose="020B0506020104020203" pitchFamily="34" charset="0"/>
              <a:ea typeface="News Gothic MT" charset="0"/>
              <a:cs typeface="News Gothic MT" charset="0"/>
            </a:rPr>
            <a:t> DEFINITIONS</a:t>
          </a:r>
          <a:endParaRPr lang="en-US" sz="2400" b="1">
            <a:solidFill>
              <a:srgbClr val="009394"/>
            </a:solidFill>
            <a:effectLst/>
            <a:latin typeface="Gill Sans MT Condensed" panose="020B0506020104020203" pitchFamily="34" charset="0"/>
            <a:ea typeface="News Gothic MT" charset="0"/>
            <a:cs typeface="News Gothic MT" charset="0"/>
          </a:endParaRPr>
        </a:p>
        <a:p>
          <a:pPr lvl="0" algn="l"/>
          <a:r>
            <a:rPr lang="en-US" sz="1000" b="1">
              <a:solidFill>
                <a:schemeClr val="bg2">
                  <a:lumMod val="25000"/>
                </a:schemeClr>
              </a:solidFill>
              <a:effectLst/>
              <a:latin typeface="News Gothic MT" charset="0"/>
              <a:ea typeface="News Gothic MT" charset="0"/>
              <a:cs typeface="News Gothic MT" charset="0"/>
            </a:rPr>
            <a:t>1. Cost</a:t>
          </a:r>
          <a:r>
            <a:rPr lang="en-US" sz="1000" b="1" baseline="0">
              <a:solidFill>
                <a:schemeClr val="bg2">
                  <a:lumMod val="25000"/>
                </a:schemeClr>
              </a:solidFill>
              <a:effectLst/>
              <a:latin typeface="News Gothic MT" charset="0"/>
              <a:ea typeface="News Gothic MT" charset="0"/>
              <a:cs typeface="News Gothic MT" charset="0"/>
            </a:rPr>
            <a:t> per Ton Including Revenue</a:t>
          </a:r>
          <a:r>
            <a:rPr lang="en-US" sz="1000" b="1">
              <a:solidFill>
                <a:schemeClr val="bg2">
                  <a:lumMod val="25000"/>
                </a:schemeClr>
              </a:solidFill>
              <a:effectLst/>
              <a:latin typeface="News Gothic MT" charset="0"/>
              <a:ea typeface="News Gothic MT" charset="0"/>
              <a:cs typeface="News Gothic MT" charset="0"/>
            </a:rPr>
            <a:t>:</a:t>
          </a:r>
          <a:r>
            <a:rPr lang="en-US" sz="1000">
              <a:solidFill>
                <a:schemeClr val="bg2">
                  <a:lumMod val="25000"/>
                </a:schemeClr>
              </a:solidFill>
              <a:effectLst/>
              <a:latin typeface="News Gothic MT" charset="0"/>
              <a:ea typeface="News Gothic MT" charset="0"/>
              <a:cs typeface="News Gothic MT" charset="0"/>
            </a:rPr>
            <a:t> The</a:t>
          </a:r>
          <a:r>
            <a:rPr lang="en-US" sz="1000" baseline="0">
              <a:solidFill>
                <a:schemeClr val="bg2">
                  <a:lumMod val="25000"/>
                </a:schemeClr>
              </a:solidFill>
              <a:effectLst/>
              <a:latin typeface="News Gothic MT" charset="0"/>
              <a:ea typeface="News Gothic MT" charset="0"/>
              <a:cs typeface="News Gothic MT" charset="0"/>
            </a:rPr>
            <a:t> cost per ton of recyclables collected to transport, build, operate, and maintain each option in the hub and spoke model. For direct haul, the costs include the additional time off-route for each track to transport recyclables directly to a facility. The model takes into account contamination in the recycling stream, based on the collection method. </a:t>
          </a:r>
          <a:endParaRPr lang="en-US" sz="1000">
            <a:solidFill>
              <a:schemeClr val="bg2">
                <a:lumMod val="25000"/>
              </a:schemeClr>
            </a:solidFill>
            <a:effectLst/>
            <a:latin typeface="News Gothic MT" charset="0"/>
            <a:ea typeface="News Gothic MT" charset="0"/>
            <a:cs typeface="News Gothic MT" charset="0"/>
          </a:endParaRPr>
        </a:p>
        <a:p>
          <a:pPr lvl="0" algn="l"/>
          <a:endParaRPr lang="en-US" sz="1000" b="1">
            <a:solidFill>
              <a:schemeClr val="bg2">
                <a:lumMod val="25000"/>
              </a:schemeClr>
            </a:solidFill>
            <a:effectLst/>
            <a:latin typeface="News Gothic MT" charset="0"/>
            <a:ea typeface="News Gothic MT" charset="0"/>
            <a:cs typeface="News Gothic MT" charset="0"/>
          </a:endParaRPr>
        </a:p>
        <a:p>
          <a:pPr lvl="0" algn="l"/>
          <a:r>
            <a:rPr lang="en-US" sz="1000" b="1">
              <a:solidFill>
                <a:schemeClr val="bg2">
                  <a:lumMod val="25000"/>
                </a:schemeClr>
              </a:solidFill>
              <a:effectLst/>
              <a:latin typeface="News Gothic MT" charset="0"/>
              <a:ea typeface="News Gothic MT" charset="0"/>
              <a:cs typeface="News Gothic MT" charset="0"/>
            </a:rPr>
            <a:t>2. Cost per Household per Year: </a:t>
          </a:r>
          <a:r>
            <a:rPr lang="en-US" sz="1000" b="0">
              <a:solidFill>
                <a:schemeClr val="bg2">
                  <a:lumMod val="25000"/>
                </a:schemeClr>
              </a:solidFill>
              <a:effectLst/>
              <a:latin typeface="News Gothic MT" charset="0"/>
              <a:ea typeface="News Gothic MT" charset="0"/>
              <a:cs typeface="News Gothic MT" charset="0"/>
            </a:rPr>
            <a:t>The</a:t>
          </a:r>
          <a:r>
            <a:rPr lang="en-US" sz="1000" b="0" baseline="0">
              <a:solidFill>
                <a:schemeClr val="bg2">
                  <a:lumMod val="25000"/>
                </a:schemeClr>
              </a:solidFill>
              <a:effectLst/>
              <a:latin typeface="News Gothic MT" charset="0"/>
              <a:ea typeface="News Gothic MT" charset="0"/>
              <a:cs typeface="News Gothic MT" charset="0"/>
            </a:rPr>
            <a:t> total annual costs divided by the total number of households in your community.</a:t>
          </a:r>
          <a:endParaRPr lang="en-US" sz="1000">
            <a:solidFill>
              <a:schemeClr val="bg2">
                <a:lumMod val="25000"/>
              </a:schemeClr>
            </a:solidFill>
            <a:effectLst/>
            <a:latin typeface="News Gothic MT" charset="0"/>
            <a:ea typeface="News Gothic MT" charset="0"/>
            <a:cs typeface="News Gothic MT" charset="0"/>
          </a:endParaRPr>
        </a:p>
        <a:p>
          <a:pPr lvl="0" algn="l"/>
          <a:endParaRPr lang="en-US" sz="1000" b="1">
            <a:solidFill>
              <a:schemeClr val="bg2">
                <a:lumMod val="25000"/>
              </a:schemeClr>
            </a:solidFill>
            <a:effectLst/>
            <a:latin typeface="News Gothic MT" charset="0"/>
            <a:ea typeface="News Gothic MT" charset="0"/>
            <a:cs typeface="News Gothic MT" charset="0"/>
          </a:endParaRPr>
        </a:p>
        <a:p>
          <a:pPr lvl="0" algn="l"/>
          <a:r>
            <a:rPr lang="en-US" sz="1000" b="1">
              <a:solidFill>
                <a:schemeClr val="bg2">
                  <a:lumMod val="25000"/>
                </a:schemeClr>
              </a:solidFill>
              <a:effectLst/>
              <a:latin typeface="News Gothic MT" charset="0"/>
              <a:ea typeface="News Gothic MT" charset="0"/>
              <a:cs typeface="News Gothic MT" charset="0"/>
            </a:rPr>
            <a:t>3. Annual Cost (Capital</a:t>
          </a:r>
          <a:r>
            <a:rPr lang="en-US" sz="1000" b="1" baseline="0">
              <a:solidFill>
                <a:schemeClr val="bg2">
                  <a:lumMod val="25000"/>
                </a:schemeClr>
              </a:solidFill>
              <a:effectLst/>
              <a:latin typeface="News Gothic MT" charset="0"/>
              <a:ea typeface="News Gothic MT" charset="0"/>
              <a:cs typeface="News Gothic MT" charset="0"/>
            </a:rPr>
            <a:t> + Operating</a:t>
          </a:r>
          <a:r>
            <a:rPr lang="en-US" sz="1000" b="1">
              <a:solidFill>
                <a:schemeClr val="bg2">
                  <a:lumMod val="25000"/>
                </a:schemeClr>
              </a:solidFill>
              <a:effectLst/>
              <a:latin typeface="News Gothic MT" charset="0"/>
              <a:ea typeface="News Gothic MT" charset="0"/>
              <a:cs typeface="News Gothic MT" charset="0"/>
            </a:rPr>
            <a:t>) without</a:t>
          </a:r>
          <a:r>
            <a:rPr lang="en-US" sz="1000" b="1" baseline="0">
              <a:solidFill>
                <a:schemeClr val="bg2">
                  <a:lumMod val="25000"/>
                </a:schemeClr>
              </a:solidFill>
              <a:effectLst/>
              <a:latin typeface="News Gothic MT" charset="0"/>
              <a:ea typeface="News Gothic MT" charset="0"/>
              <a:cs typeface="News Gothic MT" charset="0"/>
            </a:rPr>
            <a:t> Revenue</a:t>
          </a:r>
          <a:r>
            <a:rPr lang="en-US" sz="1000" b="1">
              <a:solidFill>
                <a:schemeClr val="bg2">
                  <a:lumMod val="25000"/>
                </a:schemeClr>
              </a:solidFill>
              <a:effectLst/>
              <a:latin typeface="News Gothic MT" charset="0"/>
              <a:ea typeface="News Gothic MT" charset="0"/>
              <a:cs typeface="News Gothic MT" charset="0"/>
            </a:rPr>
            <a:t>:</a:t>
          </a:r>
          <a:r>
            <a:rPr lang="en-US" sz="1000">
              <a:solidFill>
                <a:schemeClr val="bg2">
                  <a:lumMod val="25000"/>
                </a:schemeClr>
              </a:solidFill>
              <a:effectLst/>
              <a:latin typeface="News Gothic MT" charset="0"/>
              <a:ea typeface="News Gothic MT" charset="0"/>
              <a:cs typeface="News Gothic MT" charset="0"/>
            </a:rPr>
            <a:t> The</a:t>
          </a:r>
          <a:r>
            <a:rPr lang="en-US" sz="1000" baseline="0">
              <a:solidFill>
                <a:schemeClr val="bg2">
                  <a:lumMod val="25000"/>
                </a:schemeClr>
              </a:solidFill>
              <a:effectLst/>
              <a:latin typeface="News Gothic MT" charset="0"/>
              <a:ea typeface="News Gothic MT" charset="0"/>
              <a:cs typeface="News Gothic MT" charset="0"/>
            </a:rPr>
            <a:t> total annual cost, including amortized construction costs, loan payback plus interest, rolling stock, staff, insurance, operations, maintenance, fuel, MRF revenues or tip fees, and costs of contamination in the recycling stream. The annual costs do not include costs for land purchase or reserves for capital replacement.  </a:t>
          </a:r>
          <a:endParaRPr lang="en-US" sz="1000">
            <a:solidFill>
              <a:schemeClr val="bg2">
                <a:lumMod val="25000"/>
              </a:schemeClr>
            </a:solidFill>
            <a:effectLst/>
            <a:latin typeface="News Gothic MT" charset="0"/>
            <a:ea typeface="News Gothic MT" charset="0"/>
            <a:cs typeface="News Gothic MT" charset="0"/>
          </a:endParaRPr>
        </a:p>
        <a:p>
          <a:pPr lvl="0" algn="l"/>
          <a:endParaRPr lang="en-US" sz="1000" b="1">
            <a:solidFill>
              <a:schemeClr val="bg2">
                <a:lumMod val="25000"/>
              </a:schemeClr>
            </a:solidFill>
            <a:effectLst/>
            <a:latin typeface="News Gothic MT" charset="0"/>
            <a:ea typeface="News Gothic MT" charset="0"/>
            <a:cs typeface="News Gothic MT" charset="0"/>
          </a:endParaRPr>
        </a:p>
        <a:p>
          <a:pPr lvl="0" algn="l"/>
          <a:r>
            <a:rPr lang="en-US" sz="1000" b="1">
              <a:solidFill>
                <a:schemeClr val="bg2">
                  <a:lumMod val="25000"/>
                </a:schemeClr>
              </a:solidFill>
              <a:effectLst/>
              <a:latin typeface="News Gothic MT" charset="0"/>
              <a:ea typeface="News Gothic MT" charset="0"/>
              <a:cs typeface="News Gothic MT" charset="0"/>
            </a:rPr>
            <a:t>4. Additional</a:t>
          </a:r>
          <a:r>
            <a:rPr lang="en-US" sz="1000" b="1" baseline="0">
              <a:solidFill>
                <a:schemeClr val="bg2">
                  <a:lumMod val="25000"/>
                </a:schemeClr>
              </a:solidFill>
              <a:effectLst/>
              <a:latin typeface="News Gothic MT" charset="0"/>
              <a:ea typeface="News Gothic MT" charset="0"/>
              <a:cs typeface="News Gothic MT" charset="0"/>
            </a:rPr>
            <a:t> Tons to Make Next Level Efficient</a:t>
          </a:r>
          <a:r>
            <a:rPr lang="en-US" sz="1000" b="1">
              <a:solidFill>
                <a:schemeClr val="bg2">
                  <a:lumMod val="25000"/>
                </a:schemeClr>
              </a:solidFill>
              <a:effectLst/>
              <a:latin typeface="News Gothic MT" charset="0"/>
              <a:ea typeface="News Gothic MT" charset="0"/>
              <a:cs typeface="News Gothic MT" charset="0"/>
            </a:rPr>
            <a:t>:</a:t>
          </a:r>
          <a:r>
            <a:rPr lang="en-US" sz="1000">
              <a:solidFill>
                <a:schemeClr val="bg2">
                  <a:lumMod val="25000"/>
                </a:schemeClr>
              </a:solidFill>
              <a:effectLst/>
              <a:latin typeface="News Gothic MT" charset="0"/>
              <a:ea typeface="News Gothic MT" charset="0"/>
              <a:cs typeface="News Gothic MT" charset="0"/>
            </a:rPr>
            <a:t> The</a:t>
          </a:r>
          <a:r>
            <a:rPr lang="en-US" sz="1000" baseline="0">
              <a:solidFill>
                <a:schemeClr val="bg2">
                  <a:lumMod val="25000"/>
                </a:schemeClr>
              </a:solidFill>
              <a:effectLst/>
              <a:latin typeface="News Gothic MT" charset="0"/>
              <a:ea typeface="News Gothic MT" charset="0"/>
              <a:cs typeface="News Gothic MT" charset="0"/>
            </a:rPr>
            <a:t> number of additional tons needed to reach the next level of efficiency (larger transfer station, larger MRF). This output allows the user to understand the impact of regionalization </a:t>
          </a:r>
          <a:endParaRPr lang="en-US" sz="1000" b="1">
            <a:solidFill>
              <a:schemeClr val="bg2">
                <a:lumMod val="25000"/>
              </a:schemeClr>
            </a:solidFill>
            <a:effectLst/>
            <a:latin typeface="News Gothic MT" charset="0"/>
            <a:ea typeface="News Gothic MT" charset="0"/>
            <a:cs typeface="News Gothic MT" charset="0"/>
          </a:endParaRPr>
        </a:p>
        <a:p>
          <a:pPr lvl="0" algn="l"/>
          <a:endParaRPr lang="en-US" sz="1000" b="1">
            <a:solidFill>
              <a:sysClr val="windowText" lastClr="000000"/>
            </a:solidFill>
            <a:effectLst/>
            <a:latin typeface="News Gothic MT" charset="0"/>
            <a:ea typeface="News Gothic MT" charset="0"/>
            <a:cs typeface="News Gothic MT" charset="0"/>
          </a:endParaRPr>
        </a:p>
        <a:p>
          <a:r>
            <a:rPr lang="en-US" sz="2000" b="1">
              <a:solidFill>
                <a:srgbClr val="006666"/>
              </a:solidFill>
              <a:effectLst/>
              <a:latin typeface="Gill Sans MT Condensed" panose="020B0506020104020203" pitchFamily="34" charset="0"/>
              <a:ea typeface="+mn-ea"/>
              <a:cs typeface="Arial" panose="020B0604020202020204" pitchFamily="34" charset="0"/>
            </a:rPr>
            <a:t>DETAILED DESCRIPTIONS OF PROGRAMS</a:t>
          </a:r>
          <a:endParaRPr lang="en-US" sz="2000">
            <a:solidFill>
              <a:srgbClr val="006666"/>
            </a:solidFill>
            <a:effectLst/>
            <a:latin typeface="Gill Sans MT Condensed" panose="020B0506020104020203" pitchFamily="34" charset="0"/>
            <a:cs typeface="Arial" panose="020B0604020202020204" pitchFamily="34" charset="0"/>
          </a:endParaRPr>
        </a:p>
        <a:p>
          <a:r>
            <a:rPr lang="en-US" sz="1800" b="1">
              <a:solidFill>
                <a:srgbClr val="92D050"/>
              </a:solidFill>
              <a:effectLst/>
              <a:latin typeface="Gill Sans MT Condensed" panose="020B0506020104020203" pitchFamily="34" charset="0"/>
              <a:ea typeface="+mn-ea"/>
              <a:cs typeface="Arial" panose="020B0604020202020204" pitchFamily="34" charset="0"/>
            </a:rPr>
            <a:t>Recyclables</a:t>
          </a:r>
          <a:r>
            <a:rPr lang="en-US" sz="1800" b="1" baseline="0">
              <a:solidFill>
                <a:srgbClr val="92D050"/>
              </a:solidFill>
              <a:effectLst/>
              <a:latin typeface="Gill Sans MT Condensed" panose="020B0506020104020203" pitchFamily="34" charset="0"/>
              <a:ea typeface="+mn-ea"/>
              <a:cs typeface="Arial" panose="020B0604020202020204" pitchFamily="34" charset="0"/>
            </a:rPr>
            <a:t> Transfer Station and MRF Costs</a:t>
          </a:r>
          <a:endParaRPr lang="en-US" sz="1800">
            <a:solidFill>
              <a:srgbClr val="92D050"/>
            </a:solidFill>
            <a:effectLst/>
            <a:latin typeface="Gill Sans MT Condensed" panose="020B0506020104020203" pitchFamily="34" charset="0"/>
            <a:cs typeface="Arial" panose="020B0604020202020204" pitchFamily="34" charset="0"/>
          </a:endParaRPr>
        </a:p>
        <a:p>
          <a:pPr lvl="0" algn="l"/>
          <a:endParaRPr lang="en-US" sz="1000">
            <a:solidFill>
              <a:sysClr val="windowText" lastClr="000000"/>
            </a:solidFill>
            <a:effectLst/>
            <a:latin typeface="Arial" panose="020B0604020202020204" pitchFamily="34" charset="0"/>
            <a:ea typeface="News Gothic MT" charset="0"/>
            <a:cs typeface="Arial" panose="020B0604020202020204" pitchFamily="34" charset="0"/>
          </a:endParaRPr>
        </a:p>
        <a:p>
          <a:pPr eaLnBrk="1" fontAlgn="auto" latinLnBrk="0" hangingPunct="1"/>
          <a:r>
            <a:rPr lang="en-US" sz="1000">
              <a:solidFill>
                <a:schemeClr val="bg2">
                  <a:lumMod val="25000"/>
                </a:schemeClr>
              </a:solidFill>
              <a:effectLst/>
              <a:latin typeface="Arial" panose="020B0604020202020204" pitchFamily="34" charset="0"/>
              <a:ea typeface="+mn-ea"/>
              <a:cs typeface="Arial" panose="020B0604020202020204" pitchFamily="34" charset="0"/>
            </a:rPr>
            <a:t>In</a:t>
          </a:r>
          <a:r>
            <a:rPr lang="en-US" sz="1000" baseline="0">
              <a:solidFill>
                <a:schemeClr val="bg2">
                  <a:lumMod val="25000"/>
                </a:schemeClr>
              </a:solidFill>
              <a:effectLst/>
              <a:latin typeface="Arial" panose="020B0604020202020204" pitchFamily="34" charset="0"/>
              <a:ea typeface="+mn-ea"/>
              <a:cs typeface="Arial" panose="020B0604020202020204" pitchFamily="34" charset="0"/>
            </a:rPr>
            <a:t> a Hub and Spoke system, the transfer stations are the 'spokes' of the wheel, and the MRFs are the 'hubs'.  </a:t>
          </a:r>
          <a:r>
            <a:rPr lang="en-US" sz="1000">
              <a:solidFill>
                <a:schemeClr val="bg2">
                  <a:lumMod val="25000"/>
                </a:schemeClr>
              </a:solidFill>
              <a:effectLst/>
              <a:latin typeface="Arial" panose="020B0604020202020204" pitchFamily="34" charset="0"/>
              <a:ea typeface="+mn-ea"/>
              <a:cs typeface="Arial" panose="020B0604020202020204" pitchFamily="34" charset="0"/>
            </a:rPr>
            <a:t>The Hub &amp;</a:t>
          </a:r>
          <a:r>
            <a:rPr lang="en-US" sz="1000" baseline="0">
              <a:solidFill>
                <a:schemeClr val="bg2">
                  <a:lumMod val="25000"/>
                </a:schemeClr>
              </a:solidFill>
              <a:effectLst/>
              <a:latin typeface="Arial" panose="020B0604020202020204" pitchFamily="34" charset="0"/>
              <a:ea typeface="+mn-ea"/>
              <a:cs typeface="Arial" panose="020B0604020202020204" pitchFamily="34" charset="0"/>
            </a:rPr>
            <a:t> Spoke</a:t>
          </a:r>
          <a:r>
            <a:rPr lang="en-US" sz="1000">
              <a:solidFill>
                <a:schemeClr val="bg2">
                  <a:lumMod val="25000"/>
                </a:schemeClr>
              </a:solidFill>
              <a:effectLst/>
              <a:latin typeface="Arial" panose="020B0604020202020204" pitchFamily="34" charset="0"/>
              <a:ea typeface="+mn-ea"/>
              <a:cs typeface="Arial" panose="020B0604020202020204" pitchFamily="34" charset="0"/>
            </a:rPr>
            <a:t> Model is based on an assumption that a</a:t>
          </a:r>
          <a:r>
            <a:rPr lang="en-US" sz="1000" baseline="0">
              <a:solidFill>
                <a:schemeClr val="bg2">
                  <a:lumMod val="25000"/>
                </a:schemeClr>
              </a:solidFill>
              <a:effectLst/>
              <a:latin typeface="Arial" panose="020B0604020202020204" pitchFamily="34" charset="0"/>
              <a:ea typeface="+mn-ea"/>
              <a:cs typeface="Arial" panose="020B0604020202020204" pitchFamily="34" charset="0"/>
            </a:rPr>
            <a:t> community is</a:t>
          </a:r>
          <a:r>
            <a:rPr lang="en-US" sz="1000">
              <a:solidFill>
                <a:schemeClr val="bg2">
                  <a:lumMod val="25000"/>
                </a:schemeClr>
              </a:solidFill>
              <a:effectLst/>
              <a:latin typeface="Arial" panose="020B0604020202020204" pitchFamily="34" charset="0"/>
              <a:ea typeface="+mn-ea"/>
              <a:cs typeface="Arial" panose="020B0604020202020204" pitchFamily="34" charset="0"/>
            </a:rPr>
            <a:t> choosing between</a:t>
          </a:r>
          <a:r>
            <a:rPr lang="en-US" sz="1000" baseline="0">
              <a:solidFill>
                <a:schemeClr val="bg2">
                  <a:lumMod val="25000"/>
                </a:schemeClr>
              </a:solidFill>
              <a:effectLst/>
              <a:latin typeface="Arial" panose="020B0604020202020204" pitchFamily="34" charset="0"/>
              <a:ea typeface="+mn-ea"/>
              <a:cs typeface="Arial" panose="020B0604020202020204" pitchFamily="34" charset="0"/>
            </a:rPr>
            <a:t> the direct haul of recyclable material to a processor versus developing a new hub (MRF) versus a new spoke (transfer station). When the total quantity of material is great enough to justify the development of a MRF, the model allows the user to compare the cost of direct haul to the costs of transfer to the cost of building a new greenfield MRF. In order to reach the level of cost efficiency where building a transfer station or a MRF makes economic sense, it is likely that multiple communities may need to work together to consolidate their tons of recyclables.</a:t>
          </a:r>
          <a:endParaRPr lang="en-US" sz="1000">
            <a:solidFill>
              <a:schemeClr val="bg2">
                <a:lumMod val="25000"/>
              </a:schemeClr>
            </a:solidFill>
            <a:effectLst/>
            <a:latin typeface="Arial" panose="020B0604020202020204" pitchFamily="34" charset="0"/>
            <a:cs typeface="Arial" panose="020B0604020202020204" pitchFamily="34" charset="0"/>
          </a:endParaRPr>
        </a:p>
        <a:p>
          <a:pPr eaLnBrk="1" fontAlgn="auto" latinLnBrk="0" hangingPunct="1"/>
          <a:endParaRPr lang="en-US" sz="1000">
            <a:solidFill>
              <a:schemeClr val="bg2">
                <a:lumMod val="25000"/>
              </a:schemeClr>
            </a:solidFill>
            <a:effectLst/>
            <a:latin typeface="Arial" panose="020B0604020202020204" pitchFamily="34" charset="0"/>
            <a:ea typeface="+mn-ea"/>
            <a:cs typeface="Arial" panose="020B0604020202020204" pitchFamily="34" charset="0"/>
          </a:endParaRPr>
        </a:p>
        <a:p>
          <a:pPr eaLnBrk="1" fontAlgn="auto" latinLnBrk="0" hangingPunct="1"/>
          <a:r>
            <a:rPr lang="en-US" sz="1000">
              <a:solidFill>
                <a:schemeClr val="bg2">
                  <a:lumMod val="25000"/>
                </a:schemeClr>
              </a:solidFill>
              <a:effectLst/>
              <a:latin typeface="Arial" panose="020B0604020202020204" pitchFamily="34" charset="0"/>
              <a:ea typeface="+mn-ea"/>
              <a:cs typeface="Arial" panose="020B0604020202020204" pitchFamily="34" charset="0"/>
            </a:rPr>
            <a:t>The costs / revenues of the recyclables collected are included in this Hub and Spoke model and are assumed in the recycling tip fee paid at an existing facility. </a:t>
          </a:r>
          <a:r>
            <a:rPr lang="en-US" sz="1000" baseline="0">
              <a:solidFill>
                <a:schemeClr val="bg2">
                  <a:lumMod val="25000"/>
                </a:schemeClr>
              </a:solidFill>
              <a:effectLst/>
              <a:latin typeface="Arial" panose="020B0604020202020204" pitchFamily="34" charset="0"/>
              <a:ea typeface="+mn-ea"/>
              <a:cs typeface="Arial" panose="020B0604020202020204" pitchFamily="34" charset="0"/>
            </a:rPr>
            <a:t>When the tonnage of recyclables exceeds 10,500 tons the MRF costs will be presented and can be compared to the  costs of transfer to make a determination of the most viable program approach for processing recyclable materials. </a:t>
          </a:r>
          <a:r>
            <a:rPr lang="en-CA" sz="1000">
              <a:solidFill>
                <a:schemeClr val="bg2">
                  <a:lumMod val="25000"/>
                </a:schemeClr>
              </a:solidFill>
              <a:effectLst/>
              <a:latin typeface="Arial" panose="020B0604020202020204" pitchFamily="34" charset="0"/>
              <a:ea typeface="+mn-ea"/>
              <a:cs typeface="Arial" panose="020B0604020202020204" pitchFamily="34" charset="0"/>
            </a:rPr>
            <a:t>The various systems trade off capital and operating costs, site requirements and convenience, and long-haul shipping efficiencies.  Each of these technologies can be configured and used in multiple ways, so a choice of the appropriate system should not be made solely</a:t>
          </a:r>
          <a:r>
            <a:rPr lang="en-CA" sz="1000" baseline="0">
              <a:solidFill>
                <a:schemeClr val="bg2">
                  <a:lumMod val="25000"/>
                </a:schemeClr>
              </a:solidFill>
              <a:effectLst/>
              <a:latin typeface="Arial" panose="020B0604020202020204" pitchFamily="34" charset="0"/>
              <a:ea typeface="+mn-ea"/>
              <a:cs typeface="Arial" panose="020B0604020202020204" pitchFamily="34" charset="0"/>
            </a:rPr>
            <a:t> </a:t>
          </a:r>
          <a:r>
            <a:rPr lang="en-CA" sz="1000">
              <a:solidFill>
                <a:schemeClr val="bg2">
                  <a:lumMod val="25000"/>
                </a:schemeClr>
              </a:solidFill>
              <a:effectLst/>
              <a:latin typeface="Arial" panose="020B0604020202020204" pitchFamily="34" charset="0"/>
              <a:ea typeface="+mn-ea"/>
              <a:cs typeface="Arial" panose="020B0604020202020204" pitchFamily="34" charset="0"/>
            </a:rPr>
            <a:t>from the information presented here. While the net cost impact of selected technology for each small transfer station is nearly negligible compared to the overall system cost, making the best choice is important to the performance of the affected local recycling collection systems. Detailed consideration of the appropriate technology is needed before any final technology decision is made.</a:t>
          </a:r>
          <a:r>
            <a:rPr lang="en-US" sz="1000">
              <a:solidFill>
                <a:schemeClr val="bg2">
                  <a:lumMod val="25000"/>
                </a:schemeClr>
              </a:solidFill>
              <a:effectLst/>
              <a:latin typeface="Arial" panose="020B0604020202020204" pitchFamily="34" charset="0"/>
              <a:ea typeface="+mn-ea"/>
              <a:cs typeface="Arial" panose="020B0604020202020204" pitchFamily="34" charset="0"/>
            </a:rPr>
            <a:t> </a:t>
          </a:r>
          <a:endParaRPr lang="en-US" sz="1000">
            <a:solidFill>
              <a:schemeClr val="bg2">
                <a:lumMod val="25000"/>
              </a:schemeClr>
            </a:solidFill>
            <a:effectLst/>
            <a:latin typeface="Arial" panose="020B0604020202020204" pitchFamily="34" charset="0"/>
            <a:cs typeface="Arial" panose="020B0604020202020204" pitchFamily="34" charset="0"/>
          </a:endParaRPr>
        </a:p>
        <a:p>
          <a:endParaRPr lang="en-US" sz="1000" b="0">
            <a:solidFill>
              <a:schemeClr val="bg2">
                <a:lumMod val="25000"/>
              </a:schemeClr>
            </a:solidFill>
            <a:effectLst/>
            <a:latin typeface="Arial" panose="020B0604020202020204" pitchFamily="34" charset="0"/>
            <a:ea typeface="+mn-ea"/>
            <a:cs typeface="Arial" panose="020B0604020202020204" pitchFamily="34" charset="0"/>
          </a:endParaRPr>
        </a:p>
        <a:p>
          <a:r>
            <a:rPr lang="en-US" sz="1000" b="0">
              <a:solidFill>
                <a:schemeClr val="bg2">
                  <a:lumMod val="25000"/>
                </a:schemeClr>
              </a:solidFill>
              <a:effectLst/>
              <a:latin typeface="Arial" panose="020B0604020202020204" pitchFamily="34" charset="0"/>
              <a:ea typeface="+mn-ea"/>
              <a:cs typeface="Arial" panose="020B0604020202020204" pitchFamily="34" charset="0"/>
            </a:rPr>
            <a:t>The transfer</a:t>
          </a:r>
          <a:r>
            <a:rPr lang="en-US" sz="1000" b="0" baseline="0">
              <a:solidFill>
                <a:schemeClr val="bg2">
                  <a:lumMod val="25000"/>
                </a:schemeClr>
              </a:solidFill>
              <a:effectLst/>
              <a:latin typeface="Arial" panose="020B0604020202020204" pitchFamily="34" charset="0"/>
              <a:ea typeface="+mn-ea"/>
              <a:cs typeface="Arial" panose="020B0604020202020204" pitchFamily="34" charset="0"/>
            </a:rPr>
            <a:t> station costs are the cost of buildings, equipment, rolling stock and land improvements. This also includes the following operational costs: employee costs, fringe benefits, administration, other non-staff operations and maintenance charges and insurance. </a:t>
          </a:r>
          <a:r>
            <a:rPr lang="en-CA" sz="1000" b="0" baseline="0">
              <a:solidFill>
                <a:schemeClr val="bg2">
                  <a:lumMod val="25000"/>
                </a:schemeClr>
              </a:solidFill>
              <a:effectLst/>
              <a:latin typeface="Arial" panose="020B0604020202020204" pitchFamily="34" charset="0"/>
              <a:ea typeface="+mn-ea"/>
              <a:cs typeface="Arial" panose="020B0604020202020204" pitchFamily="34" charset="0"/>
            </a:rPr>
            <a:t>T</a:t>
          </a:r>
          <a:r>
            <a:rPr lang="en-CA" sz="1000">
              <a:solidFill>
                <a:schemeClr val="bg2">
                  <a:lumMod val="25000"/>
                </a:schemeClr>
              </a:solidFill>
              <a:effectLst/>
              <a:latin typeface="Arial" panose="020B0604020202020204" pitchFamily="34" charset="0"/>
              <a:ea typeface="+mn-ea"/>
              <a:cs typeface="Arial" panose="020B0604020202020204" pitchFamily="34" charset="0"/>
            </a:rPr>
            <a:t>he model</a:t>
          </a:r>
          <a:r>
            <a:rPr lang="en-CA" sz="1000" baseline="0">
              <a:solidFill>
                <a:schemeClr val="bg2">
                  <a:lumMod val="25000"/>
                </a:schemeClr>
              </a:solidFill>
              <a:effectLst/>
              <a:latin typeface="Arial" panose="020B0604020202020204" pitchFamily="34" charset="0"/>
              <a:ea typeface="+mn-ea"/>
              <a:cs typeface="Arial" panose="020B0604020202020204" pitchFamily="34" charset="0"/>
            </a:rPr>
            <a:t> uses</a:t>
          </a:r>
          <a:r>
            <a:rPr lang="en-CA" sz="1000">
              <a:solidFill>
                <a:schemeClr val="bg2">
                  <a:lumMod val="25000"/>
                </a:schemeClr>
              </a:solidFill>
              <a:effectLst/>
              <a:latin typeface="Arial" panose="020B0604020202020204" pitchFamily="34" charset="0"/>
              <a:ea typeface="+mn-ea"/>
              <a:cs typeface="Arial" panose="020B0604020202020204" pitchFamily="34" charset="0"/>
            </a:rPr>
            <a:t> three different transfer station sizes. Each one is designed to serve a local area. They are:</a:t>
          </a:r>
          <a:endParaRPr lang="en-US" sz="1000">
            <a:solidFill>
              <a:schemeClr val="bg2">
                <a:lumMod val="25000"/>
              </a:schemeClr>
            </a:solidFill>
            <a:effectLst/>
            <a:latin typeface="Arial" panose="020B0604020202020204" pitchFamily="34" charset="0"/>
            <a:cs typeface="Arial" panose="020B0604020202020204" pitchFamily="34" charset="0"/>
          </a:endParaRPr>
        </a:p>
        <a:p>
          <a:r>
            <a:rPr lang="en-CA" sz="1000" b="1">
              <a:solidFill>
                <a:schemeClr val="bg2">
                  <a:lumMod val="25000"/>
                </a:schemeClr>
              </a:solidFill>
              <a:effectLst/>
              <a:latin typeface="Arial" panose="020B0604020202020204" pitchFamily="34" charset="0"/>
              <a:ea typeface="+mn-ea"/>
              <a:cs typeface="Arial" panose="020B0604020202020204" pitchFamily="34" charset="0"/>
            </a:rPr>
            <a:t>       Small:</a:t>
          </a:r>
          <a:r>
            <a:rPr lang="en-CA" sz="1000">
              <a:solidFill>
                <a:schemeClr val="bg2">
                  <a:lumMod val="25000"/>
                </a:schemeClr>
              </a:solidFill>
              <a:effectLst/>
              <a:latin typeface="Arial" panose="020B0604020202020204" pitchFamily="34" charset="0"/>
              <a:ea typeface="+mn-ea"/>
              <a:cs typeface="Arial" panose="020B0604020202020204" pitchFamily="34" charset="0"/>
            </a:rPr>
            <a:t> Design capacity 2,500 tons per year</a:t>
          </a:r>
          <a:endParaRPr lang="en-US" sz="1000">
            <a:solidFill>
              <a:schemeClr val="bg2">
                <a:lumMod val="25000"/>
              </a:schemeClr>
            </a:solidFill>
            <a:effectLst/>
            <a:latin typeface="Arial" panose="020B0604020202020204" pitchFamily="34" charset="0"/>
            <a:cs typeface="Arial" panose="020B0604020202020204" pitchFamily="34" charset="0"/>
          </a:endParaRPr>
        </a:p>
        <a:p>
          <a:r>
            <a:rPr lang="en-CA" sz="1000" b="1">
              <a:solidFill>
                <a:schemeClr val="bg2">
                  <a:lumMod val="25000"/>
                </a:schemeClr>
              </a:solidFill>
              <a:effectLst/>
              <a:latin typeface="Arial" panose="020B0604020202020204" pitchFamily="34" charset="0"/>
              <a:ea typeface="+mn-ea"/>
              <a:cs typeface="Arial" panose="020B0604020202020204" pitchFamily="34" charset="0"/>
            </a:rPr>
            <a:t>       Medium</a:t>
          </a:r>
          <a:r>
            <a:rPr lang="en-CA" sz="1000">
              <a:solidFill>
                <a:schemeClr val="bg2">
                  <a:lumMod val="25000"/>
                </a:schemeClr>
              </a:solidFill>
              <a:effectLst/>
              <a:latin typeface="Arial" panose="020B0604020202020204" pitchFamily="34" charset="0"/>
              <a:ea typeface="+mn-ea"/>
              <a:cs typeface="Arial" panose="020B0604020202020204" pitchFamily="34" charset="0"/>
            </a:rPr>
            <a:t>: Design capacity 10,000 tons per year</a:t>
          </a:r>
          <a:endParaRPr lang="en-US" sz="1000">
            <a:solidFill>
              <a:schemeClr val="bg2">
                <a:lumMod val="25000"/>
              </a:schemeClr>
            </a:solidFill>
            <a:effectLst/>
            <a:latin typeface="Arial" panose="020B0604020202020204" pitchFamily="34" charset="0"/>
            <a:cs typeface="Arial" panose="020B0604020202020204" pitchFamily="34" charset="0"/>
          </a:endParaRPr>
        </a:p>
        <a:p>
          <a:r>
            <a:rPr lang="en-CA" sz="1000" b="1">
              <a:solidFill>
                <a:schemeClr val="bg2">
                  <a:lumMod val="25000"/>
                </a:schemeClr>
              </a:solidFill>
              <a:effectLst/>
              <a:latin typeface="Arial" panose="020B0604020202020204" pitchFamily="34" charset="0"/>
              <a:ea typeface="+mn-ea"/>
              <a:cs typeface="Arial" panose="020B0604020202020204" pitchFamily="34" charset="0"/>
            </a:rPr>
            <a:t>       Large: </a:t>
          </a:r>
          <a:r>
            <a:rPr lang="en-CA" sz="1000">
              <a:solidFill>
                <a:schemeClr val="bg2">
                  <a:lumMod val="25000"/>
                </a:schemeClr>
              </a:solidFill>
              <a:effectLst/>
              <a:latin typeface="Arial" panose="020B0604020202020204" pitchFamily="34" charset="0"/>
              <a:ea typeface="+mn-ea"/>
              <a:cs typeface="Arial" panose="020B0604020202020204" pitchFamily="34" charset="0"/>
            </a:rPr>
            <a:t>Design capacity 50,000 tons per year</a:t>
          </a:r>
          <a:endParaRPr lang="en-US" sz="1000">
            <a:solidFill>
              <a:schemeClr val="bg2">
                <a:lumMod val="25000"/>
              </a:schemeClr>
            </a:solidFill>
            <a:effectLst/>
            <a:latin typeface="Arial" panose="020B0604020202020204" pitchFamily="34" charset="0"/>
            <a:cs typeface="Arial" panose="020B0604020202020204" pitchFamily="34" charset="0"/>
          </a:endParaRPr>
        </a:p>
        <a:p>
          <a:pPr eaLnBrk="1" fontAlgn="auto" latinLnBrk="0" hangingPunct="1"/>
          <a:endParaRPr lang="en-CA" sz="1000">
            <a:solidFill>
              <a:schemeClr val="bg2">
                <a:lumMod val="25000"/>
              </a:schemeClr>
            </a:solidFill>
            <a:effectLst/>
            <a:latin typeface="Arial" panose="020B0604020202020204" pitchFamily="34" charset="0"/>
            <a:ea typeface="+mn-ea"/>
            <a:cs typeface="Arial" panose="020B0604020202020204" pitchFamily="34" charset="0"/>
          </a:endParaRPr>
        </a:p>
        <a:p>
          <a:pPr eaLnBrk="1" fontAlgn="auto" latinLnBrk="0" hangingPunct="1"/>
          <a:r>
            <a:rPr lang="en-CA" sz="1000">
              <a:solidFill>
                <a:schemeClr val="bg2">
                  <a:lumMod val="25000"/>
                </a:schemeClr>
              </a:solidFill>
              <a:effectLst/>
              <a:latin typeface="Arial" panose="020B0604020202020204" pitchFamily="34" charset="0"/>
              <a:ea typeface="+mn-ea"/>
              <a:cs typeface="Arial" panose="020B0604020202020204" pitchFamily="34" charset="0"/>
            </a:rPr>
            <a:t>Due to the large cost difference and tonnage range between the medium and large transfer facilities, the</a:t>
          </a:r>
          <a:r>
            <a:rPr lang="en-CA" sz="1000" baseline="0">
              <a:solidFill>
                <a:schemeClr val="bg2">
                  <a:lumMod val="25000"/>
                </a:schemeClr>
              </a:solidFill>
              <a:effectLst/>
              <a:latin typeface="Arial" panose="020B0604020202020204" pitchFamily="34" charset="0"/>
              <a:ea typeface="+mn-ea"/>
              <a:cs typeface="Arial" panose="020B0604020202020204" pitchFamily="34" charset="0"/>
            </a:rPr>
            <a:t> model utilizes a cost </a:t>
          </a:r>
          <a:r>
            <a:rPr lang="en-CA" sz="1000">
              <a:solidFill>
                <a:schemeClr val="bg2">
                  <a:lumMod val="25000"/>
                </a:schemeClr>
              </a:solidFill>
              <a:effectLst/>
              <a:latin typeface="Arial" panose="020B0604020202020204" pitchFamily="34" charset="0"/>
              <a:ea typeface="+mn-ea"/>
              <a:cs typeface="Arial" panose="020B0604020202020204" pitchFamily="34" charset="0"/>
            </a:rPr>
            <a:t>curve to estimate the operating cost. </a:t>
          </a:r>
          <a:r>
            <a:rPr lang="en-US" sz="1000" baseline="0">
              <a:solidFill>
                <a:schemeClr val="bg2">
                  <a:lumMod val="25000"/>
                </a:schemeClr>
              </a:solidFill>
              <a:effectLst/>
              <a:latin typeface="Arial" panose="020B0604020202020204" pitchFamily="34" charset="0"/>
              <a:ea typeface="+mn-ea"/>
              <a:cs typeface="Arial" panose="020B0604020202020204" pitchFamily="34" charset="0"/>
            </a:rPr>
            <a:t>The transfer of recyclable materials assumes that there is available throughput in existing regional MRFs. </a:t>
          </a:r>
          <a:r>
            <a:rPr lang="en-US" sz="1000">
              <a:solidFill>
                <a:schemeClr val="bg2">
                  <a:lumMod val="25000"/>
                </a:schemeClr>
              </a:solidFill>
              <a:effectLst/>
              <a:latin typeface="Arial" panose="020B0604020202020204" pitchFamily="34" charset="0"/>
              <a:ea typeface="+mn-ea"/>
              <a:cs typeface="Arial" panose="020B0604020202020204" pitchFamily="34" charset="0"/>
            </a:rPr>
            <a:t>A Material Recovery Facility is not considered unless the total tonnage exceeds 10,500 tons per year</a:t>
          </a:r>
          <a:r>
            <a:rPr lang="en-US" sz="1000" baseline="0">
              <a:solidFill>
                <a:schemeClr val="bg2">
                  <a:lumMod val="25000"/>
                </a:schemeClr>
              </a:solidFill>
              <a:effectLst/>
              <a:latin typeface="Arial" panose="020B0604020202020204" pitchFamily="34" charset="0"/>
              <a:ea typeface="+mn-ea"/>
              <a:cs typeface="Arial" panose="020B0604020202020204" pitchFamily="34" charset="0"/>
            </a:rPr>
            <a:t> (minimum level is </a:t>
          </a:r>
          <a:r>
            <a:rPr lang="en-US" sz="1000">
              <a:solidFill>
                <a:schemeClr val="bg2">
                  <a:lumMod val="25000"/>
                </a:schemeClr>
              </a:solidFill>
              <a:effectLst/>
              <a:latin typeface="Arial" panose="020B0604020202020204" pitchFamily="34" charset="0"/>
              <a:ea typeface="+mn-ea"/>
              <a:cs typeface="Arial" panose="020B0604020202020204" pitchFamily="34" charset="0"/>
            </a:rPr>
            <a:t>asked on the minimum throughput capabilities of current</a:t>
          </a:r>
          <a:r>
            <a:rPr lang="en-US" sz="1000" baseline="0">
              <a:solidFill>
                <a:schemeClr val="bg2">
                  <a:lumMod val="25000"/>
                </a:schemeClr>
              </a:solidFill>
              <a:effectLst/>
              <a:latin typeface="Arial" panose="020B0604020202020204" pitchFamily="34" charset="0"/>
              <a:ea typeface="+mn-ea"/>
              <a:cs typeface="Arial" panose="020B0604020202020204" pitchFamily="34" charset="0"/>
            </a:rPr>
            <a:t> technology).</a:t>
          </a:r>
          <a:r>
            <a:rPr lang="en-US" sz="1000">
              <a:solidFill>
                <a:schemeClr val="bg2">
                  <a:lumMod val="25000"/>
                </a:schemeClr>
              </a:solidFill>
              <a:effectLst/>
              <a:latin typeface="Arial" panose="020B0604020202020204" pitchFamily="34" charset="0"/>
              <a:ea typeface="+mn-ea"/>
              <a:cs typeface="Arial" panose="020B0604020202020204" pitchFamily="34" charset="0"/>
            </a:rPr>
            <a:t> </a:t>
          </a:r>
        </a:p>
        <a:p>
          <a:pPr eaLnBrk="1" fontAlgn="auto" latinLnBrk="0" hangingPunct="1"/>
          <a:endParaRPr lang="en-US" sz="1000">
            <a:solidFill>
              <a:schemeClr val="bg2">
                <a:lumMod val="25000"/>
              </a:schemeClr>
            </a:solidFill>
            <a:effectLst/>
            <a:latin typeface="Arial" panose="020B0604020202020204" pitchFamily="34" charset="0"/>
            <a:cs typeface="Arial" panose="020B0604020202020204" pitchFamily="34" charset="0"/>
          </a:endParaRPr>
        </a:p>
        <a:p>
          <a:pPr eaLnBrk="1" fontAlgn="auto" latinLnBrk="0" hangingPunct="1"/>
          <a:r>
            <a:rPr lang="en-US" sz="1000">
              <a:solidFill>
                <a:schemeClr val="bg2">
                  <a:lumMod val="25000"/>
                </a:schemeClr>
              </a:solidFill>
              <a:effectLst/>
              <a:latin typeface="Arial" panose="020B0604020202020204" pitchFamily="34" charset="0"/>
              <a:ea typeface="+mn-ea"/>
              <a:cs typeface="Arial" panose="020B0604020202020204" pitchFamily="34" charset="0"/>
            </a:rPr>
            <a:t>The costs of a MRF are</a:t>
          </a:r>
          <a:r>
            <a:rPr lang="en-US" sz="1000" baseline="0">
              <a:solidFill>
                <a:schemeClr val="bg2">
                  <a:lumMod val="25000"/>
                </a:schemeClr>
              </a:solidFill>
              <a:effectLst/>
              <a:latin typeface="Arial" panose="020B0604020202020204" pitchFamily="34" charset="0"/>
              <a:ea typeface="+mn-ea"/>
              <a:cs typeface="Arial" panose="020B0604020202020204" pitchFamily="34" charset="0"/>
            </a:rPr>
            <a:t> scaled based on the total tonnage and one of 11 types of facilities with differing throughputs. Facilities evaluated include both dual-stream and single-stream processing.</a:t>
          </a:r>
          <a:r>
            <a:rPr lang="en-CA" sz="1000">
              <a:solidFill>
                <a:schemeClr val="bg2">
                  <a:lumMod val="25000"/>
                </a:schemeClr>
              </a:solidFill>
              <a:effectLst/>
              <a:latin typeface="Arial" panose="020B0604020202020204" pitchFamily="34" charset="0"/>
              <a:ea typeface="+mn-ea"/>
              <a:cs typeface="Arial" panose="020B0604020202020204" pitchFamily="34" charset="0"/>
            </a:rPr>
            <a:t> Annual operating costs are estimated for both single and two-shift operations for each facility. Assumptions were made in developing the MRF cost model to reflect what should be possible in MRFs with a typical listed target products. The</a:t>
          </a:r>
          <a:r>
            <a:rPr lang="en-CA" sz="1000" baseline="0">
              <a:solidFill>
                <a:schemeClr val="bg2">
                  <a:lumMod val="25000"/>
                </a:schemeClr>
              </a:solidFill>
              <a:effectLst/>
              <a:latin typeface="Arial" panose="020B0604020202020204" pitchFamily="34" charset="0"/>
              <a:ea typeface="+mn-ea"/>
              <a:cs typeface="Arial" panose="020B0604020202020204" pitchFamily="34" charset="0"/>
            </a:rPr>
            <a:t> model does not necessarily reflect</a:t>
          </a:r>
          <a:r>
            <a:rPr lang="en-CA" sz="1000">
              <a:solidFill>
                <a:schemeClr val="bg2">
                  <a:lumMod val="25000"/>
                </a:schemeClr>
              </a:solidFill>
              <a:effectLst/>
              <a:latin typeface="Arial" panose="020B0604020202020204" pitchFamily="34" charset="0"/>
              <a:ea typeface="+mn-ea"/>
              <a:cs typeface="Arial" panose="020B0604020202020204" pitchFamily="34" charset="0"/>
            </a:rPr>
            <a:t> the actual fixed and variable costs of a 'real'</a:t>
          </a:r>
          <a:r>
            <a:rPr lang="en-CA" sz="1000" baseline="0">
              <a:solidFill>
                <a:schemeClr val="bg2">
                  <a:lumMod val="25000"/>
                </a:schemeClr>
              </a:solidFill>
              <a:effectLst/>
              <a:latin typeface="Arial" panose="020B0604020202020204" pitchFamily="34" charset="0"/>
              <a:ea typeface="+mn-ea"/>
              <a:cs typeface="Arial" panose="020B0604020202020204" pitchFamily="34" charset="0"/>
            </a:rPr>
            <a:t> facility, but instead uses estimates to forecast processing cost per ton to the annual throughput based on the operating budgets of various types of facilities</a:t>
          </a:r>
          <a:r>
            <a:rPr lang="en-CA" sz="1000">
              <a:solidFill>
                <a:schemeClr val="bg2">
                  <a:lumMod val="25000"/>
                </a:schemeClr>
              </a:solidFill>
              <a:effectLst/>
              <a:latin typeface="Arial" panose="020B0604020202020204" pitchFamily="34" charset="0"/>
              <a:ea typeface="+mn-ea"/>
              <a:cs typeface="Arial" panose="020B0604020202020204" pitchFamily="34" charset="0"/>
            </a:rPr>
            <a:t>. The model costs take into account the impact of varying levels of contamination</a:t>
          </a:r>
          <a:r>
            <a:rPr lang="en-CA" sz="1000" baseline="0">
              <a:solidFill>
                <a:schemeClr val="bg2">
                  <a:lumMod val="25000"/>
                </a:schemeClr>
              </a:solidFill>
              <a:effectLst/>
              <a:latin typeface="Arial" panose="020B0604020202020204" pitchFamily="34" charset="0"/>
              <a:ea typeface="+mn-ea"/>
              <a:cs typeface="Arial" panose="020B0604020202020204" pitchFamily="34" charset="0"/>
            </a:rPr>
            <a:t> based on the chosen collection system.</a:t>
          </a:r>
          <a:endParaRPr lang="en-CA" sz="1000">
            <a:solidFill>
              <a:schemeClr val="bg2">
                <a:lumMod val="25000"/>
              </a:schemeClr>
            </a:solidFill>
            <a:effectLst/>
            <a:latin typeface="Arial" panose="020B0604020202020204" pitchFamily="34" charset="0"/>
            <a:ea typeface="+mn-ea"/>
            <a:cs typeface="Arial" panose="020B0604020202020204" pitchFamily="34" charset="0"/>
          </a:endParaRPr>
        </a:p>
        <a:p>
          <a:pPr eaLnBrk="1" fontAlgn="auto" latinLnBrk="0" hangingPunct="1"/>
          <a:endParaRPr lang="en-US" sz="1000">
            <a:solidFill>
              <a:schemeClr val="bg2">
                <a:lumMod val="25000"/>
              </a:schemeClr>
            </a:solidFill>
            <a:effectLst/>
            <a:latin typeface="Arial" panose="020B0604020202020204" pitchFamily="34" charset="0"/>
            <a:cs typeface="Arial" panose="020B0604020202020204" pitchFamily="34" charset="0"/>
          </a:endParaRPr>
        </a:p>
        <a:p>
          <a:r>
            <a:rPr lang="en-US" sz="1000" baseline="0">
              <a:solidFill>
                <a:schemeClr val="bg2">
                  <a:lumMod val="25000"/>
                </a:schemeClr>
              </a:solidFill>
              <a:effectLst/>
              <a:latin typeface="Arial" panose="020B0604020202020204" pitchFamily="34" charset="0"/>
              <a:ea typeface="+mn-ea"/>
              <a:cs typeface="Arial" panose="020B0604020202020204" pitchFamily="34" charset="0"/>
            </a:rPr>
            <a:t>As the tons of recyclables increase the costs associated with those tons change due to the scale of the transfer operation, increasing efficiencies of a MRF driven by technology and throughput. This means that if additional tonnages of recyclables can be aggregated by several communities they can achieve better economies of scale in both the transfer operation and in the option of developing a regional MRF becoming a possibility. </a:t>
          </a:r>
          <a:endParaRPr lang="en-US" sz="1000">
            <a:solidFill>
              <a:schemeClr val="bg2">
                <a:lumMod val="25000"/>
              </a:schemeClr>
            </a:solidFill>
            <a:effectLst/>
            <a:latin typeface="Arial" panose="020B0604020202020204" pitchFamily="34" charset="0"/>
            <a:cs typeface="Arial" panose="020B0604020202020204" pitchFamily="34" charset="0"/>
          </a:endParaRPr>
        </a:p>
        <a:p>
          <a:pPr lvl="0" algn="l"/>
          <a:endParaRPr lang="en-US" sz="1000">
            <a:solidFill>
              <a:sysClr val="windowText" lastClr="000000"/>
            </a:solidFill>
            <a:effectLst/>
            <a:latin typeface="News Gothic MT" charset="0"/>
            <a:ea typeface="News Gothic MT" charset="0"/>
            <a:cs typeface="News Gothic MT" charset="0"/>
          </a:endParaRPr>
        </a:p>
        <a:p>
          <a:pPr lvl="0" algn="l"/>
          <a:endParaRPr lang="en-US" sz="1000">
            <a:solidFill>
              <a:sysClr val="windowText" lastClr="000000"/>
            </a:solidFill>
            <a:effectLst/>
            <a:latin typeface="News Gothic MT" charset="0"/>
            <a:ea typeface="News Gothic MT" charset="0"/>
            <a:cs typeface="News Gothic MT" charset="0"/>
          </a:endParaRPr>
        </a:p>
        <a:p>
          <a:pPr lvl="0" algn="l"/>
          <a:r>
            <a:rPr lang="en-US" sz="1200" b="1" i="1">
              <a:solidFill>
                <a:schemeClr val="accent4">
                  <a:lumMod val="50000"/>
                </a:schemeClr>
              </a:solidFill>
              <a:effectLst/>
              <a:latin typeface="+mn-lt"/>
              <a:ea typeface="+mn-ea"/>
              <a:cs typeface="+mn-cs"/>
            </a:rPr>
            <a:t>                  </a:t>
          </a:r>
          <a:r>
            <a:rPr lang="en-US" sz="1200" b="1" i="1">
              <a:solidFill>
                <a:schemeClr val="accent4">
                  <a:lumMod val="50000"/>
                </a:schemeClr>
              </a:solidFill>
              <a:effectLst/>
              <a:latin typeface="+mj-lt"/>
              <a:ea typeface="+mn-ea"/>
              <a:cs typeface="+mn-cs"/>
            </a:rPr>
            <a:t>Managing change in a resource-constrained world  </a:t>
          </a:r>
          <a:r>
            <a:rPr lang="en-US" sz="1200">
              <a:solidFill>
                <a:schemeClr val="accent6">
                  <a:lumMod val="90000"/>
                  <a:lumOff val="10000"/>
                </a:schemeClr>
              </a:solidFill>
              <a:effectLst/>
              <a:latin typeface="+mj-lt"/>
              <a:ea typeface="+mn-ea"/>
              <a:cs typeface="+mn-cs"/>
            </a:rPr>
            <a:t>www.recycle.com</a:t>
          </a:r>
          <a:endParaRPr lang="en-US" sz="1200">
            <a:solidFill>
              <a:schemeClr val="accent6">
                <a:lumMod val="90000"/>
                <a:lumOff val="10000"/>
              </a:schemeClr>
            </a:solidFill>
            <a:effectLst/>
            <a:latin typeface="+mj-lt"/>
            <a:ea typeface="News Gothic MT" charset="0"/>
            <a:cs typeface="News Gothic MT" charset="0"/>
          </a:endParaRPr>
        </a:p>
      </xdr:txBody>
    </xdr:sp>
    <xdr:clientData/>
  </xdr:twoCellAnchor>
  <xdr:twoCellAnchor>
    <xdr:from>
      <xdr:col>1</xdr:col>
      <xdr:colOff>22128</xdr:colOff>
      <xdr:row>14</xdr:row>
      <xdr:rowOff>129129</xdr:rowOff>
    </xdr:from>
    <xdr:to>
      <xdr:col>5</xdr:col>
      <xdr:colOff>19049</xdr:colOff>
      <xdr:row>19</xdr:row>
      <xdr:rowOff>2770</xdr:rowOff>
    </xdr:to>
    <xdr:sp macro="" textlink="">
      <xdr:nvSpPr>
        <xdr:cNvPr id="3" name="TextBox 2"/>
        <xdr:cNvSpPr txBox="1"/>
      </xdr:nvSpPr>
      <xdr:spPr>
        <a:xfrm>
          <a:off x="241203" y="4615404"/>
          <a:ext cx="9312371" cy="683266"/>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tIns="0" rIns="182880" bIns="0" rtlCol="0" anchor="ctr"/>
        <a:lstStyle/>
        <a:p>
          <a:r>
            <a:rPr lang="en-US" sz="3200">
              <a:solidFill>
                <a:schemeClr val="bg1"/>
              </a:solidFill>
              <a:latin typeface="Gill Sans MT Condensed" charset="0"/>
              <a:ea typeface="Gill Sans MT Condensed" charset="0"/>
              <a:cs typeface="Gill Sans MT Condensed" charset="0"/>
            </a:rPr>
            <a:t>INTERPRETING YOUR RESULTS</a:t>
          </a:r>
        </a:p>
      </xdr:txBody>
    </xdr:sp>
    <xdr:clientData/>
  </xdr:twoCellAnchor>
  <xdr:twoCellAnchor editAs="oneCell">
    <xdr:from>
      <xdr:col>3</xdr:col>
      <xdr:colOff>738497</xdr:colOff>
      <xdr:row>88</xdr:row>
      <xdr:rowOff>98963</xdr:rowOff>
    </xdr:from>
    <xdr:to>
      <xdr:col>4</xdr:col>
      <xdr:colOff>670461</xdr:colOff>
      <xdr:row>91</xdr:row>
      <xdr:rowOff>35010</xdr:rowOff>
    </xdr:to>
    <xdr:pic>
      <xdr:nvPicPr>
        <xdr:cNvPr id="4" name="Picture 3" descr="RRSlogosmall"/>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9042" y="16040349"/>
          <a:ext cx="919101" cy="429615"/>
        </a:xfrm>
        <a:prstGeom prst="rect">
          <a:avLst/>
        </a:prstGeom>
        <a:noFill/>
        <a:ln>
          <a:noFill/>
        </a:ln>
      </xdr:spPr>
    </xdr:pic>
    <xdr:clientData/>
  </xdr:twoCellAnchor>
  <xdr:twoCellAnchor>
    <xdr:from>
      <xdr:col>1</xdr:col>
      <xdr:colOff>2675660</xdr:colOff>
      <xdr:row>4</xdr:row>
      <xdr:rowOff>103909</xdr:rowOff>
    </xdr:from>
    <xdr:to>
      <xdr:col>1</xdr:col>
      <xdr:colOff>3186546</xdr:colOff>
      <xdr:row>4</xdr:row>
      <xdr:rowOff>103909</xdr:rowOff>
    </xdr:to>
    <xdr:cxnSp macro="">
      <xdr:nvCxnSpPr>
        <xdr:cNvPr id="6" name="Straight Arrow Connector 5"/>
        <xdr:cNvCxnSpPr/>
      </xdr:nvCxnSpPr>
      <xdr:spPr>
        <a:xfrm>
          <a:off x="2883478" y="1472045"/>
          <a:ext cx="510886" cy="0"/>
        </a:xfrm>
        <a:prstGeom prst="straightConnector1">
          <a:avLst/>
        </a:prstGeom>
        <a:ln>
          <a:solidFill>
            <a:srgbClr val="FFFF00"/>
          </a:solidFill>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15522</xdr:colOff>
      <xdr:row>22</xdr:row>
      <xdr:rowOff>71902</xdr:rowOff>
    </xdr:from>
    <xdr:to>
      <xdr:col>9</xdr:col>
      <xdr:colOff>117230</xdr:colOff>
      <xdr:row>69</xdr:row>
      <xdr:rowOff>166076</xdr:rowOff>
    </xdr:to>
    <xdr:sp macro="" textlink="">
      <xdr:nvSpPr>
        <xdr:cNvPr id="2" name="TextBox 1"/>
        <xdr:cNvSpPr txBox="1"/>
      </xdr:nvSpPr>
      <xdr:spPr>
        <a:xfrm>
          <a:off x="269522" y="5396133"/>
          <a:ext cx="10750170" cy="789978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tIns="91440" rIns="182880" bIns="91440" rtlCol="0" anchor="t"/>
        <a:lstStyle/>
        <a:p>
          <a:pPr algn="l"/>
          <a:r>
            <a:rPr lang="en-US" sz="1100">
              <a:solidFill>
                <a:srgbClr val="000000"/>
              </a:solidFill>
              <a:effectLst/>
              <a:latin typeface="News Gothic MT" charset="0"/>
              <a:ea typeface="News Gothic MT" charset="0"/>
              <a:cs typeface="News Gothic MT" charset="0"/>
            </a:rPr>
            <a:t>The Transfer &amp; Processing Model results below allow the user to compare the impacts and costs of building a transfer station versus a regional MRF. By reading across the two options you can see the differences in amount recycled and cost of each one. The following notes help define these outputs.  </a:t>
          </a:r>
          <a:r>
            <a:rPr lang="en-US" sz="1100" baseline="0">
              <a:solidFill>
                <a:srgbClr val="0070C0"/>
              </a:solidFill>
              <a:effectLst/>
              <a:latin typeface="News Gothic MT" charset="0"/>
              <a:ea typeface="News Gothic MT" charset="0"/>
              <a:cs typeface="News Gothic MT" charset="0"/>
            </a:rPr>
            <a:t>When the tonnage of recyclables exceeds 10,000 tons the MRF costs will be presented and can be compared to the  costs of transfer to make a determination of the most viable program approach for processing recyclable amterials. </a:t>
          </a:r>
          <a:r>
            <a:rPr lang="en-US" sz="1100">
              <a:solidFill>
                <a:srgbClr val="FF0000"/>
              </a:solidFill>
              <a:effectLst/>
              <a:latin typeface="News Gothic MT" charset="0"/>
              <a:ea typeface="News Gothic MT" charset="0"/>
              <a:cs typeface="News Gothic MT" charset="0"/>
            </a:rPr>
            <a:t>DAVID - Can</a:t>
          </a:r>
          <a:r>
            <a:rPr lang="en-US" sz="1100" baseline="0">
              <a:solidFill>
                <a:srgbClr val="FF0000"/>
              </a:solidFill>
              <a:effectLst/>
              <a:latin typeface="News Gothic MT" charset="0"/>
              <a:ea typeface="News Gothic MT" charset="0"/>
              <a:cs typeface="News Gothic MT" charset="0"/>
            </a:rPr>
            <a:t> you add something about how a user can intererpret the results on for hub &amp; spoke - perhaps how they could look at totals and decide when to partner with other communities to get more tons and reduce costs of trasnfer / processing?</a:t>
          </a:r>
          <a:endParaRPr lang="en-US" sz="1100">
            <a:solidFill>
              <a:srgbClr val="FF0000"/>
            </a:solidFill>
            <a:effectLst/>
            <a:latin typeface="News Gothic MT" charset="0"/>
            <a:ea typeface="News Gothic MT" charset="0"/>
            <a:cs typeface="News Gothic MT" charset="0"/>
          </a:endParaRPr>
        </a:p>
        <a:p>
          <a:pPr algn="l"/>
          <a:endParaRPr lang="en-US" sz="1100">
            <a:solidFill>
              <a:schemeClr val="dk1"/>
            </a:solidFill>
            <a:effectLst/>
            <a:latin typeface="News Gothic MT" charset="0"/>
            <a:ea typeface="News Gothic MT" charset="0"/>
            <a:cs typeface="News Gothic MT" charset="0"/>
          </a:endParaRPr>
        </a:p>
        <a:p>
          <a:pPr algn="l"/>
          <a:r>
            <a:rPr lang="en-US" sz="2400" b="1">
              <a:solidFill>
                <a:schemeClr val="accent1"/>
              </a:solidFill>
              <a:effectLst/>
              <a:latin typeface="Gill Sans MT Condensed" charset="0"/>
              <a:ea typeface="Gill Sans MT Condensed" charset="0"/>
              <a:cs typeface="Gill Sans MT Condensed" charset="0"/>
            </a:rPr>
            <a:t>DETAILED DESCRIPTIONS OF PROGRAMS</a:t>
          </a:r>
        </a:p>
        <a:p>
          <a:pPr algn="l"/>
          <a:r>
            <a:rPr lang="en-US" sz="1200" b="1">
              <a:solidFill>
                <a:srgbClr val="000000"/>
              </a:solidFill>
              <a:effectLst/>
              <a:latin typeface="News Gothic MT" charset="0"/>
              <a:ea typeface="News Gothic MT" charset="0"/>
              <a:cs typeface="News Gothic MT" charset="0"/>
            </a:rPr>
            <a:t>Recyclables</a:t>
          </a:r>
          <a:r>
            <a:rPr lang="en-US" sz="1200" b="1" baseline="0">
              <a:solidFill>
                <a:srgbClr val="000000"/>
              </a:solidFill>
              <a:effectLst/>
              <a:latin typeface="News Gothic MT" charset="0"/>
              <a:ea typeface="News Gothic MT" charset="0"/>
              <a:cs typeface="News Gothic MT" charset="0"/>
            </a:rPr>
            <a:t> Transfer Station and MRF Costs</a:t>
          </a:r>
          <a:endParaRPr lang="en-US" sz="1200">
            <a:solidFill>
              <a:srgbClr val="000000"/>
            </a:solidFill>
            <a:effectLst/>
            <a:latin typeface="News Gothic MT" charset="0"/>
            <a:ea typeface="News Gothic MT" charset="0"/>
            <a:cs typeface="News Gothic MT" charset="0"/>
          </a:endParaRPr>
        </a:p>
        <a:p>
          <a:pPr algn="l"/>
          <a:r>
            <a:rPr lang="en-US" sz="1100" b="0">
              <a:solidFill>
                <a:srgbClr val="000000"/>
              </a:solidFill>
              <a:effectLst/>
              <a:latin typeface="News Gothic MT" charset="0"/>
              <a:ea typeface="News Gothic MT" charset="0"/>
              <a:cs typeface="News Gothic MT" charset="0"/>
            </a:rPr>
            <a:t>The transfer</a:t>
          </a:r>
          <a:r>
            <a:rPr lang="en-US" sz="1100" b="0" baseline="0">
              <a:solidFill>
                <a:srgbClr val="000000"/>
              </a:solidFill>
              <a:effectLst/>
              <a:latin typeface="News Gothic MT" charset="0"/>
              <a:ea typeface="News Gothic MT" charset="0"/>
              <a:cs typeface="News Gothic MT" charset="0"/>
            </a:rPr>
            <a:t> station costs are the cost of buildings, equipment, rolling stock and land improvements. This also includes the following operational costs: employee costs, fringe benefits, administration, other non-staff operations and maintenance charges and insurance. </a:t>
          </a:r>
          <a:r>
            <a:rPr lang="en-US" sz="1100">
              <a:solidFill>
                <a:srgbClr val="000000"/>
              </a:solidFill>
              <a:effectLst/>
              <a:latin typeface="News Gothic MT" charset="0"/>
              <a:ea typeface="News Gothic MT" charset="0"/>
              <a:cs typeface="News Gothic MT" charset="0"/>
            </a:rPr>
            <a:t>The costs / revenues of the recyclables collected are included in this Hub and Spoke model and are assumed in the recycling tip fee paid at an existing facility. </a:t>
          </a:r>
          <a:r>
            <a:rPr lang="en-US" sz="1100" baseline="0">
              <a:solidFill>
                <a:srgbClr val="0070C0"/>
              </a:solidFill>
              <a:effectLst/>
              <a:latin typeface="News Gothic MT" charset="0"/>
              <a:ea typeface="News Gothic MT" charset="0"/>
              <a:cs typeface="News Gothic MT" charset="0"/>
            </a:rPr>
            <a:t>The transfer of recyclable materials assumes that there is avaialble throughput in exisiting regional MRFs. </a:t>
          </a:r>
          <a:r>
            <a:rPr lang="en-US" sz="1100">
              <a:solidFill>
                <a:srgbClr val="000000"/>
              </a:solidFill>
              <a:effectLst/>
              <a:latin typeface="News Gothic MT" charset="0"/>
              <a:ea typeface="News Gothic MT" charset="0"/>
              <a:cs typeface="News Gothic MT" charset="0"/>
            </a:rPr>
            <a:t>A Material Recovery Facility is not considered unless the total tonnage exceeds 10,000 tons per year. The costs of a MRF are</a:t>
          </a:r>
          <a:r>
            <a:rPr lang="en-US" sz="1100" baseline="0">
              <a:solidFill>
                <a:srgbClr val="000000"/>
              </a:solidFill>
              <a:effectLst/>
              <a:latin typeface="News Gothic MT" charset="0"/>
              <a:ea typeface="News Gothic MT" charset="0"/>
              <a:cs typeface="News Gothic MT" charset="0"/>
            </a:rPr>
            <a:t> scaled based on the total tonnage and based on 11 types of facilities with differing throughputs including dual-stream and single-stream facilities. </a:t>
          </a:r>
          <a:r>
            <a:rPr lang="en-US" sz="1100" baseline="0">
              <a:solidFill>
                <a:srgbClr val="0070C0"/>
              </a:solidFill>
              <a:effectLst/>
              <a:latin typeface="News Gothic MT" charset="0"/>
              <a:ea typeface="News Gothic MT" charset="0"/>
              <a:cs typeface="News Gothic MT" charset="0"/>
            </a:rPr>
            <a:t>As the tons of recyclables increase the costs assoicated with those tons change due to the scale of the transfer operation, increasing efficiencies of a MRF driven by technology and throughput. This means that if additional tonnages of recyclables can be aggregated by several communities they can achieve better economies of scale in both the transfer operation and in the option of developing a regional MRF becoming a possibility.  </a:t>
          </a:r>
          <a:r>
            <a:rPr lang="en-US" sz="1100" baseline="0">
              <a:solidFill>
                <a:srgbClr val="FF0000"/>
              </a:solidFill>
              <a:effectLst/>
              <a:latin typeface="News Gothic MT" charset="0"/>
              <a:ea typeface="News Gothic MT" charset="0"/>
              <a:cs typeface="News Gothic MT" charset="0"/>
            </a:rPr>
            <a:t>DAVE can you write something about how costs / MRF models change with increasing tons, if this is true?</a:t>
          </a:r>
        </a:p>
        <a:p>
          <a:pPr algn="l"/>
          <a:endParaRPr lang="en-US" sz="1200" b="1">
            <a:solidFill>
              <a:srgbClr val="000000"/>
            </a:solidFill>
            <a:effectLst/>
            <a:latin typeface="News Gothic MT" charset="0"/>
            <a:ea typeface="News Gothic MT" charset="0"/>
            <a:cs typeface="News Gothic MT" charset="0"/>
          </a:endParaRPr>
        </a:p>
        <a:p>
          <a:pPr algn="l"/>
          <a:r>
            <a:rPr lang="en-US" sz="1200" b="1">
              <a:solidFill>
                <a:srgbClr val="000000"/>
              </a:solidFill>
              <a:effectLst/>
              <a:latin typeface="News Gothic MT" charset="0"/>
              <a:ea typeface="News Gothic MT" charset="0"/>
              <a:cs typeface="News Gothic MT" charset="0"/>
            </a:rPr>
            <a:t>OUTPUT</a:t>
          </a:r>
          <a:r>
            <a:rPr lang="en-US" sz="1200" b="1" baseline="0">
              <a:solidFill>
                <a:srgbClr val="000000"/>
              </a:solidFill>
              <a:effectLst/>
              <a:latin typeface="News Gothic MT" charset="0"/>
              <a:ea typeface="News Gothic MT" charset="0"/>
              <a:cs typeface="News Gothic MT" charset="0"/>
            </a:rPr>
            <a:t> DEFINITIONS</a:t>
          </a:r>
          <a:endParaRPr lang="en-US" sz="1200" b="1">
            <a:solidFill>
              <a:srgbClr val="000000"/>
            </a:solidFill>
            <a:effectLst/>
            <a:latin typeface="News Gothic MT" charset="0"/>
            <a:ea typeface="News Gothic MT" charset="0"/>
            <a:cs typeface="News Gothic MT" charset="0"/>
          </a:endParaRPr>
        </a:p>
        <a:p>
          <a:pPr lvl="0" algn="l"/>
          <a:r>
            <a:rPr lang="en-US" sz="1100" b="1">
              <a:solidFill>
                <a:srgbClr val="000000"/>
              </a:solidFill>
              <a:effectLst/>
              <a:latin typeface="News Gothic MT" charset="0"/>
              <a:ea typeface="News Gothic MT" charset="0"/>
              <a:cs typeface="News Gothic MT" charset="0"/>
            </a:rPr>
            <a:t>1. Tons of Recycling per Year:</a:t>
          </a:r>
          <a:r>
            <a:rPr lang="en-US" sz="1100">
              <a:solidFill>
                <a:srgbClr val="000000"/>
              </a:solidFill>
              <a:effectLst/>
              <a:latin typeface="News Gothic MT" charset="0"/>
              <a:ea typeface="News Gothic MT" charset="0"/>
              <a:cs typeface="News Gothic MT" charset="0"/>
            </a:rPr>
            <a:t> The total number of tons recycled in the community per year. This does not include commercial or industrial sectors. </a:t>
          </a:r>
        </a:p>
        <a:p>
          <a:pPr lvl="0" algn="l"/>
          <a:endParaRPr lang="en-US" sz="1100" b="1">
            <a:solidFill>
              <a:srgbClr val="000000"/>
            </a:solidFill>
            <a:effectLst/>
            <a:latin typeface="News Gothic MT" charset="0"/>
            <a:ea typeface="News Gothic MT" charset="0"/>
            <a:cs typeface="News Gothic MT" charset="0"/>
          </a:endParaRPr>
        </a:p>
        <a:p>
          <a:pPr lvl="0" algn="l"/>
          <a:r>
            <a:rPr lang="en-US" sz="1100" b="1">
              <a:solidFill>
                <a:srgbClr val="000000"/>
              </a:solidFill>
              <a:effectLst/>
              <a:latin typeface="News Gothic MT" charset="0"/>
              <a:ea typeface="News Gothic MT" charset="0"/>
              <a:cs typeface="News Gothic MT" charset="0"/>
            </a:rPr>
            <a:t>2. Pounds of Recycling per Household per Year: </a:t>
          </a:r>
          <a:r>
            <a:rPr lang="en-US" sz="1100">
              <a:solidFill>
                <a:srgbClr val="000000"/>
              </a:solidFill>
              <a:effectLst/>
              <a:latin typeface="News Gothic MT" charset="0"/>
              <a:ea typeface="News Gothic MT" charset="0"/>
              <a:cs typeface="News Gothic MT" charset="0"/>
            </a:rPr>
            <a:t>The total number of pounds recycled in the community per year, divided by the total number of households.</a:t>
          </a:r>
        </a:p>
        <a:p>
          <a:pPr lvl="0" algn="l"/>
          <a:endParaRPr lang="en-US" sz="1100" b="1">
            <a:solidFill>
              <a:srgbClr val="000000"/>
            </a:solidFill>
            <a:effectLst/>
            <a:latin typeface="News Gothic MT" charset="0"/>
            <a:ea typeface="News Gothic MT" charset="0"/>
            <a:cs typeface="News Gothic MT" charset="0"/>
          </a:endParaRPr>
        </a:p>
        <a:p>
          <a:pPr lvl="0" algn="l"/>
          <a:r>
            <a:rPr lang="en-US" sz="1100" b="1">
              <a:solidFill>
                <a:srgbClr val="000000"/>
              </a:solidFill>
              <a:effectLst/>
              <a:latin typeface="News Gothic MT" charset="0"/>
              <a:ea typeface="News Gothic MT" charset="0"/>
              <a:cs typeface="News Gothic MT" charset="0"/>
            </a:rPr>
            <a:t>3. Capital Annual Cost (Total):</a:t>
          </a:r>
          <a:r>
            <a:rPr lang="en-US" sz="1100">
              <a:solidFill>
                <a:srgbClr val="000000"/>
              </a:solidFill>
              <a:effectLst/>
              <a:latin typeface="News Gothic MT" charset="0"/>
              <a:ea typeface="News Gothic MT" charset="0"/>
              <a:cs typeface="News Gothic MT" charset="0"/>
            </a:rPr>
            <a:t> The total annual cost for all capital equipment, buildings and site improvements.</a:t>
          </a:r>
          <a:r>
            <a:rPr lang="en-US" sz="1100" baseline="0">
              <a:solidFill>
                <a:srgbClr val="000000"/>
              </a:solidFill>
              <a:effectLst/>
              <a:latin typeface="News Gothic MT" charset="0"/>
              <a:ea typeface="News Gothic MT" charset="0"/>
              <a:cs typeface="News Gothic MT" charset="0"/>
            </a:rPr>
            <a:t> - </a:t>
          </a:r>
          <a:r>
            <a:rPr lang="en-US" sz="1100" baseline="0">
              <a:solidFill>
                <a:srgbClr val="FF0000"/>
              </a:solidFill>
              <a:effectLst/>
              <a:latin typeface="News Gothic MT" charset="0"/>
              <a:ea typeface="News Gothic MT" charset="0"/>
              <a:cs typeface="News Gothic MT" charset="0"/>
            </a:rPr>
            <a:t>DAVID - Should this be the Annual Net Cost (total) instead? I</a:t>
          </a:r>
          <a:r>
            <a:rPr lang="en-US" sz="1100" baseline="0">
              <a:solidFill>
                <a:srgbClr val="0070C0"/>
              </a:solidFill>
              <a:effectLst/>
              <a:latin typeface="News Gothic MT" charset="0"/>
              <a:ea typeface="News Gothic MT" charset="0"/>
              <a:cs typeface="News Gothic MT" charset="0"/>
            </a:rPr>
            <a:t> had originally had the total capital cost ifdentified in this output but I gurss we do not want to show that although I think showing total capital requirement would be a good output to show. </a:t>
          </a:r>
          <a:endParaRPr lang="en-US" sz="1100">
            <a:solidFill>
              <a:srgbClr val="0070C0"/>
            </a:solidFill>
            <a:effectLst/>
            <a:latin typeface="News Gothic MT" charset="0"/>
            <a:ea typeface="News Gothic MT" charset="0"/>
            <a:cs typeface="News Gothic MT" charset="0"/>
          </a:endParaRPr>
        </a:p>
        <a:p>
          <a:pPr lvl="0" algn="l"/>
          <a:endParaRPr lang="en-US" sz="1200" b="1">
            <a:solidFill>
              <a:srgbClr val="000000"/>
            </a:solidFill>
            <a:effectLst/>
            <a:latin typeface="News Gothic MT" charset="0"/>
            <a:ea typeface="News Gothic MT" charset="0"/>
            <a:cs typeface="News Gothic MT"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100" b="1">
              <a:solidFill>
                <a:srgbClr val="000000"/>
              </a:solidFill>
              <a:effectLst/>
              <a:latin typeface="News Gothic MT" charset="0"/>
              <a:ea typeface="News Gothic MT" charset="0"/>
              <a:cs typeface="News Gothic MT" charset="0"/>
            </a:rPr>
            <a:t>Annual Net Cost (Total):</a:t>
          </a:r>
          <a:r>
            <a:rPr lang="en-US" sz="1100">
              <a:solidFill>
                <a:srgbClr val="000000"/>
              </a:solidFill>
              <a:effectLst/>
              <a:latin typeface="News Gothic MT" charset="0"/>
              <a:ea typeface="News Gothic MT" charset="0"/>
              <a:cs typeface="News Gothic MT" charset="0"/>
            </a:rPr>
            <a:t> The total annual cost to run the program. This includes the cost buildings, rolling stock and equipment (Sort lines, balers, Compactors),</a:t>
          </a:r>
          <a:r>
            <a:rPr lang="en-US" sz="1100" baseline="0">
              <a:solidFill>
                <a:srgbClr val="000000"/>
              </a:solidFill>
              <a:effectLst/>
              <a:latin typeface="News Gothic MT" charset="0"/>
              <a:ea typeface="News Gothic MT" charset="0"/>
              <a:cs typeface="News Gothic MT" charset="0"/>
            </a:rPr>
            <a:t> </a:t>
          </a:r>
          <a:r>
            <a:rPr lang="en-US" sz="1100">
              <a:solidFill>
                <a:srgbClr val="000000"/>
              </a:solidFill>
              <a:effectLst/>
              <a:latin typeface="News Gothic MT" charset="0"/>
              <a:ea typeface="News Gothic MT" charset="0"/>
              <a:cs typeface="News Gothic MT" charset="0"/>
            </a:rPr>
            <a:t>operations, insurance and fees, fuel, maintenance, the cost of staff, a contingency for capital and operations, and the cost of servicing debt(all loans are assumed to use a 7-year payback period at 3.00% interest.</a:t>
          </a:r>
          <a:r>
            <a:rPr lang="en-US" sz="1100" baseline="0">
              <a:solidFill>
                <a:srgbClr val="000000"/>
              </a:solidFill>
              <a:effectLst/>
              <a:latin typeface="News Gothic MT" charset="0"/>
              <a:ea typeface="News Gothic MT" charset="0"/>
              <a:cs typeface="News Gothic MT" charset="0"/>
            </a:rPr>
            <a:t> </a:t>
          </a:r>
          <a:r>
            <a:rPr lang="en-US" sz="1100">
              <a:solidFill>
                <a:srgbClr val="000000"/>
              </a:solidFill>
              <a:effectLst/>
              <a:latin typeface="News Gothic MT" charset="0"/>
              <a:ea typeface="News Gothic MT" charset="0"/>
              <a:cs typeface="News Gothic MT" charset="0"/>
            </a:rPr>
            <a:t>It does include administrative or support staff</a:t>
          </a:r>
          <a:r>
            <a:rPr lang="en-US" sz="1100" baseline="0">
              <a:solidFill>
                <a:srgbClr val="000000"/>
              </a:solidFill>
              <a:effectLst/>
              <a:latin typeface="News Gothic MT" charset="0"/>
              <a:ea typeface="News Gothic MT" charset="0"/>
              <a:cs typeface="News Gothic MT" charset="0"/>
            </a:rPr>
            <a:t> and </a:t>
          </a:r>
          <a:r>
            <a:rPr lang="en-US" sz="1100">
              <a:solidFill>
                <a:srgbClr val="000000"/>
              </a:solidFill>
              <a:effectLst/>
              <a:latin typeface="News Gothic MT" charset="0"/>
              <a:ea typeface="News Gothic MT" charset="0"/>
              <a:cs typeface="News Gothic MT" charset="0"/>
            </a:rPr>
            <a:t>costs. </a:t>
          </a:r>
          <a:r>
            <a:rPr lang="en-US" sz="1100" b="1" baseline="0">
              <a:solidFill>
                <a:srgbClr val="000000"/>
              </a:solidFill>
              <a:effectLst/>
              <a:latin typeface="News Gothic MT" charset="0"/>
              <a:ea typeface="News Gothic MT" charset="0"/>
              <a:cs typeface="News Gothic MT" charset="0"/>
            </a:rPr>
            <a:t>. </a:t>
          </a:r>
          <a:r>
            <a:rPr lang="en-US" sz="1100">
              <a:solidFill>
                <a:srgbClr val="000000"/>
              </a:solidFill>
              <a:effectLst/>
              <a:latin typeface="News Gothic MT" charset="0"/>
              <a:ea typeface="News Gothic MT" charset="0"/>
              <a:cs typeface="News Gothic MT" charset="0"/>
            </a:rPr>
            <a:t>The costs / revenues of the recyclables collected are included in the Hub and Spoke model and are assumed in the recycling tip fee paid at an existing faculty. A Material Recovery Facility is not considered unless the total tonnage exceeds 10,000 tons per year </a:t>
          </a:r>
          <a:r>
            <a:rPr lang="en-US" sz="1100">
              <a:solidFill>
                <a:srgbClr val="0070C0"/>
              </a:solidFill>
              <a:effectLst/>
              <a:latin typeface="News Gothic MT" charset="0"/>
              <a:ea typeface="News Gothic MT" charset="0"/>
              <a:cs typeface="News Gothic MT" charset="0"/>
            </a:rPr>
            <a:t>therefore if the total tons</a:t>
          </a:r>
          <a:r>
            <a:rPr lang="en-US" sz="1100" baseline="0">
              <a:solidFill>
                <a:srgbClr val="0070C0"/>
              </a:solidFill>
              <a:effectLst/>
              <a:latin typeface="News Gothic MT" charset="0"/>
              <a:ea typeface="News Gothic MT" charset="0"/>
              <a:cs typeface="News Gothic MT" charset="0"/>
            </a:rPr>
            <a:t> of recyclables does not excedd 10,000 tons then ther will be no costs for a MRF identified in the model outputs.</a:t>
          </a:r>
          <a:r>
            <a:rPr lang="en-US" sz="1100">
              <a:solidFill>
                <a:srgbClr val="000000"/>
              </a:solidFill>
              <a:effectLst/>
              <a:latin typeface="News Gothic MT" charset="0"/>
              <a:ea typeface="News Gothic MT" charset="0"/>
              <a:cs typeface="News Gothic MT" charset="0"/>
            </a:rPr>
            <a:t> </a:t>
          </a:r>
          <a:r>
            <a:rPr lang="en-US" sz="1100" baseline="0">
              <a:solidFill>
                <a:srgbClr val="0070C0"/>
              </a:solidFill>
              <a:effectLst/>
              <a:latin typeface="News Gothic MT" charset="0"/>
              <a:ea typeface="News Gothic MT" charset="0"/>
              <a:cs typeface="News Gothic MT" charset="0"/>
            </a:rPr>
            <a:t>When the tonnage of recyclables exceeds 10,000 tons the MRF costs will be presented and can be compared to the  costs of transfer to make a determination of the most viable program approach for processing recyclable amterials. </a:t>
          </a:r>
          <a:r>
            <a:rPr lang="en-US" sz="1100">
              <a:solidFill>
                <a:srgbClr val="000000"/>
              </a:solidFill>
              <a:effectLst/>
              <a:latin typeface="News Gothic MT" charset="0"/>
              <a:ea typeface="News Gothic MT" charset="0"/>
              <a:cs typeface="News Gothic MT" charset="0"/>
            </a:rPr>
            <a:t>- </a:t>
          </a:r>
          <a:r>
            <a:rPr lang="en-US" sz="1100">
              <a:solidFill>
                <a:srgbClr val="FF0000"/>
              </a:solidFill>
              <a:effectLst/>
              <a:latin typeface="News Gothic MT" charset="0"/>
              <a:ea typeface="News Gothic MT" charset="0"/>
              <a:cs typeface="News Gothic MT" charset="0"/>
            </a:rPr>
            <a:t>DAVID - Not sure where this shows up on the output table?</a:t>
          </a:r>
        </a:p>
        <a:p>
          <a:pPr algn="l"/>
          <a:endParaRPr lang="en-US" sz="1100" b="1">
            <a:solidFill>
              <a:srgbClr val="000000"/>
            </a:solidFill>
            <a:effectLst/>
            <a:latin typeface="News Gothic MT" charset="0"/>
            <a:ea typeface="News Gothic MT" charset="0"/>
            <a:cs typeface="News Gothic MT" charset="0"/>
          </a:endParaRPr>
        </a:p>
        <a:p>
          <a:pPr lvl="0" algn="l"/>
          <a:r>
            <a:rPr lang="en-US" sz="1100" b="1">
              <a:solidFill>
                <a:srgbClr val="000000"/>
              </a:solidFill>
              <a:effectLst/>
              <a:latin typeface="News Gothic MT" charset="0"/>
              <a:ea typeface="News Gothic MT" charset="0"/>
              <a:cs typeface="News Gothic MT" charset="0"/>
            </a:rPr>
            <a:t>5. Cost per Household per Year:</a:t>
          </a:r>
          <a:r>
            <a:rPr lang="en-US" sz="1100">
              <a:solidFill>
                <a:srgbClr val="000000"/>
              </a:solidFill>
              <a:effectLst/>
              <a:latin typeface="News Gothic MT" charset="0"/>
              <a:ea typeface="News Gothic MT" charset="0"/>
              <a:cs typeface="News Gothic MT" charset="0"/>
            </a:rPr>
            <a:t> The Annual Net Cost (Total) divided by the total number of households in the community. </a:t>
          </a:r>
        </a:p>
        <a:p>
          <a:pPr lvl="0" algn="l"/>
          <a:endParaRPr lang="en-US" sz="1100" b="1">
            <a:solidFill>
              <a:srgbClr val="000000"/>
            </a:solidFill>
            <a:effectLst/>
            <a:latin typeface="News Gothic MT" charset="0"/>
            <a:ea typeface="News Gothic MT" charset="0"/>
            <a:cs typeface="News Gothic MT" charset="0"/>
          </a:endParaRPr>
        </a:p>
        <a:p>
          <a:pPr lvl="0" algn="l"/>
          <a:r>
            <a:rPr lang="en-US" sz="1100" b="1">
              <a:solidFill>
                <a:srgbClr val="000000"/>
              </a:solidFill>
              <a:effectLst/>
              <a:latin typeface="News Gothic MT" charset="0"/>
              <a:ea typeface="News Gothic MT" charset="0"/>
              <a:cs typeface="News Gothic MT" charset="0"/>
            </a:rPr>
            <a:t>6. Cost per Ton Recycled:</a:t>
          </a:r>
          <a:r>
            <a:rPr lang="en-US" sz="1100">
              <a:solidFill>
                <a:srgbClr val="000000"/>
              </a:solidFill>
              <a:effectLst/>
              <a:latin typeface="News Gothic MT" charset="0"/>
              <a:ea typeface="News Gothic MT" charset="0"/>
              <a:cs typeface="News Gothic MT" charset="0"/>
            </a:rPr>
            <a:t> The Annual Net Cost (Total) divided by the total number of tons recycled per year. Allows the user to easily compare the cost per ton for each program option.</a:t>
          </a:r>
        </a:p>
        <a:p>
          <a:pPr lvl="0" algn="l"/>
          <a:endParaRPr lang="en-US" sz="1100" b="1">
            <a:solidFill>
              <a:srgbClr val="000000"/>
            </a:solidFill>
            <a:effectLst/>
            <a:latin typeface="News Gothic MT" charset="0"/>
            <a:ea typeface="News Gothic MT" charset="0"/>
            <a:cs typeface="News Gothic MT" charset="0"/>
          </a:endParaRPr>
        </a:p>
        <a:p>
          <a:pPr lvl="0" algn="l"/>
          <a:r>
            <a:rPr lang="en-US" sz="1100" b="1">
              <a:solidFill>
                <a:srgbClr val="000000"/>
              </a:solidFill>
              <a:effectLst/>
              <a:latin typeface="News Gothic MT" charset="0"/>
              <a:ea typeface="News Gothic MT" charset="0"/>
              <a:cs typeface="News Gothic MT" charset="0"/>
            </a:rPr>
            <a:t>7. Cost per Household per Year:</a:t>
          </a:r>
          <a:r>
            <a:rPr lang="en-US" sz="1100">
              <a:solidFill>
                <a:srgbClr val="000000"/>
              </a:solidFill>
              <a:effectLst/>
              <a:latin typeface="News Gothic MT" charset="0"/>
              <a:ea typeface="News Gothic MT" charset="0"/>
              <a:cs typeface="News Gothic MT" charset="0"/>
            </a:rPr>
            <a:t> The Annual Net Cost (Total) divided by the total number of households in the community.</a:t>
          </a:r>
        </a:p>
        <a:p>
          <a:pPr lvl="0" algn="l"/>
          <a:endParaRPr lang="en-US" sz="1100" b="1">
            <a:solidFill>
              <a:srgbClr val="000000"/>
            </a:solidFill>
            <a:effectLst/>
            <a:latin typeface="News Gothic MT" charset="0"/>
            <a:ea typeface="News Gothic MT" charset="0"/>
            <a:cs typeface="News Gothic MT" charset="0"/>
          </a:endParaRPr>
        </a:p>
        <a:p>
          <a:pPr lvl="0" algn="l"/>
          <a:r>
            <a:rPr lang="en-US" sz="1100" b="1">
              <a:solidFill>
                <a:srgbClr val="000000"/>
              </a:solidFill>
              <a:effectLst/>
              <a:latin typeface="News Gothic MT" charset="0"/>
              <a:ea typeface="News Gothic MT" charset="0"/>
              <a:cs typeface="News Gothic MT" charset="0"/>
            </a:rPr>
            <a:t>8. Cost per Ton Recycled:</a:t>
          </a:r>
          <a:r>
            <a:rPr lang="en-US" sz="1100">
              <a:solidFill>
                <a:srgbClr val="000000"/>
              </a:solidFill>
              <a:effectLst/>
              <a:latin typeface="News Gothic MT" charset="0"/>
              <a:ea typeface="News Gothic MT" charset="0"/>
              <a:cs typeface="News Gothic MT" charset="0"/>
            </a:rPr>
            <a:t> The Annual Net Cost (Total) divided by the total number of tons recycled per year. Allows the user to easily compare the cost per ton for each program option.</a:t>
          </a:r>
        </a:p>
      </xdr:txBody>
    </xdr:sp>
    <xdr:clientData/>
  </xdr:twoCellAnchor>
  <xdr:twoCellAnchor>
    <xdr:from>
      <xdr:col>1</xdr:col>
      <xdr:colOff>22128</xdr:colOff>
      <xdr:row>17</xdr:row>
      <xdr:rowOff>129129</xdr:rowOff>
    </xdr:from>
    <xdr:to>
      <xdr:col>9</xdr:col>
      <xdr:colOff>19049</xdr:colOff>
      <xdr:row>22</xdr:row>
      <xdr:rowOff>2770</xdr:rowOff>
    </xdr:to>
    <xdr:sp macro="" textlink="">
      <xdr:nvSpPr>
        <xdr:cNvPr id="3" name="TextBox 2"/>
        <xdr:cNvSpPr txBox="1"/>
      </xdr:nvSpPr>
      <xdr:spPr>
        <a:xfrm>
          <a:off x="10861578" y="4643979"/>
          <a:ext cx="10664921" cy="730891"/>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tIns="0" rIns="182880" bIns="0" rtlCol="0" anchor="ctr"/>
        <a:lstStyle/>
        <a:p>
          <a:r>
            <a:rPr lang="en-US" sz="3200">
              <a:solidFill>
                <a:schemeClr val="bg1"/>
              </a:solidFill>
              <a:latin typeface="Gill Sans MT Condensed" charset="0"/>
              <a:ea typeface="Gill Sans MT Condensed" charset="0"/>
              <a:cs typeface="Gill Sans MT Condensed" charset="0"/>
            </a:rPr>
            <a:t>INTERPRETING YOUR RESULTS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Stewardship%20Ontario/1%20-%20BBPP%20FEE%20SETTING/2012/Fee-Setting/Preliminary%20Fees%20-%20August%202011/2012%20Preliminary%20Blue%20Box%20Fee-Setting%20Model%20-%20September%2019,%202011%20from%20SO%20NM%20edi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D/Stewardship%20Ontario/1%20-%20BBPP%20FEE%20SETTING/2011/Fee%20Setting/BB%20Material%20Allocation%20v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Setting Parameters"/>
      <sheetName val="Obligation Calculation"/>
      <sheetName val="Fee Allocation"/>
      <sheetName val="Fee Schedule"/>
      <sheetName val="Cost and Revenue Calibration"/>
      <sheetName val="Material Inputs"/>
      <sheetName val="Generation"/>
      <sheetName val="Tonnes Coll and Mark Total- RES"/>
      <sheetName val="2010 T"/>
      <sheetName val="Programs"/>
      <sheetName val="Raw"/>
      <sheetName val="Allocations"/>
      <sheetName val="FASGP"/>
      <sheetName val="FASP"/>
      <sheetName val="FSP"/>
      <sheetName val="ASP"/>
      <sheetName val="ASGP"/>
      <sheetName val="Fibre"/>
      <sheetName val="Aluminum"/>
      <sheetName val="Steel"/>
      <sheetName val="Glass"/>
      <sheetName val="Plastic"/>
      <sheetName val="Residential Mixed Papers"/>
      <sheetName val="Mixed Fibres"/>
      <sheetName val="Mixed Metal Containers"/>
      <sheetName val="Mixed Glass"/>
      <sheetName val="Mixed Plastic"/>
      <sheetName val="Wine-Spirits"/>
      <sheetName val="Summary single"/>
      <sheetName val="Summary commingled"/>
      <sheetName val="SUMMARY ALL"/>
      <sheetName val="qry_BBRevenue"/>
      <sheetName val="Material Revenue"/>
      <sheetName val="Revenue Summary"/>
      <sheetName val="Fibre Cost and Revenues"/>
      <sheetName val="Sales mapping"/>
      <sheetName val="Allocated Materials"/>
      <sheetName val="Net Cost Table"/>
      <sheetName val="All Materials Summary"/>
      <sheetName val="Year on Year Changes"/>
      <sheetName val="Summary"/>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2">
          <cell r="B12">
            <v>1</v>
          </cell>
        </row>
      </sheetData>
      <sheetData sheetId="30"/>
      <sheetData sheetId="31"/>
      <sheetData sheetId="32">
        <row r="5">
          <cell r="C5">
            <v>2012</v>
          </cell>
        </row>
      </sheetData>
      <sheetData sheetId="33">
        <row r="6">
          <cell r="B6">
            <v>1</v>
          </cell>
        </row>
      </sheetData>
      <sheetData sheetId="34">
        <row r="7">
          <cell r="B7">
            <v>1</v>
          </cell>
        </row>
      </sheetData>
      <sheetData sheetId="35"/>
      <sheetData sheetId="36">
        <row r="5">
          <cell r="H5">
            <v>1</v>
          </cell>
        </row>
      </sheetData>
      <sheetData sheetId="37">
        <row r="6">
          <cell r="B6">
            <v>1</v>
          </cell>
        </row>
      </sheetData>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nes by Material"/>
      <sheetName val="Mat. List"/>
      <sheetName val="Programs"/>
      <sheetName val="2006 T"/>
      <sheetName val="2007 T"/>
      <sheetName val="2008 T"/>
      <sheetName val="2009 T"/>
      <sheetName val="RAW"/>
      <sheetName val="Hard Pack"/>
      <sheetName val="Mixed Fibres"/>
      <sheetName val="Mixed Plastics"/>
      <sheetName val="Polycoat"/>
      <sheetName val="RESMP"/>
      <sheetName val="Steel"/>
      <sheetName val="ONP6"/>
      <sheetName val="Aluminum"/>
      <sheetName val="ONP8"/>
      <sheetName val="Tubs and Lids"/>
      <sheetName val="Commingled"/>
      <sheetName val="Mixed Fibre Composition"/>
      <sheetName val="Summary Tonnes using MFC"/>
      <sheetName val="Material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Custom 25">
      <a:dk1>
        <a:srgbClr val="422100"/>
      </a:dk1>
      <a:lt1>
        <a:srgbClr val="FFFFFF"/>
      </a:lt1>
      <a:dk2>
        <a:srgbClr val="4F4E3D"/>
      </a:dk2>
      <a:lt2>
        <a:srgbClr val="EEECE1"/>
      </a:lt2>
      <a:accent1>
        <a:srgbClr val="009394"/>
      </a:accent1>
      <a:accent2>
        <a:srgbClr val="B9DC48"/>
      </a:accent2>
      <a:accent3>
        <a:srgbClr val="64E6AC"/>
      </a:accent3>
      <a:accent4>
        <a:srgbClr val="9A9C79"/>
      </a:accent4>
      <a:accent5>
        <a:srgbClr val="006465"/>
      </a:accent5>
      <a:accent6>
        <a:srgbClr val="445A01"/>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
  <sheetViews>
    <sheetView showGridLines="0" showRowColHeaders="0" tabSelected="1" workbookViewId="0">
      <selection activeCell="I8" sqref="I8"/>
    </sheetView>
  </sheetViews>
  <sheetFormatPr defaultColWidth="9" defaultRowHeight="15"/>
  <cols>
    <col min="1" max="16384" width="9" style="29"/>
  </cols>
  <sheetData>
    <row r="1" ht="19.5" customHeight="1"/>
    <row r="2" ht="60.75" customHeight="1"/>
  </sheetData>
  <sheetProtection algorithmName="SHA-512" hashValue="SNAFXWnLdh2uVwrAyHq7mObbRxKYSbWacFmqB6XVtYi4dbWULktdmLksTh7QCprp7Kllk1qVixZ2vaCDdG4fyg==" saltValue="XP6xsp8zHFS9kJNffuLTYw==" spinCount="100000" sheet="1" objects="1" scenarios="1"/>
  <customSheetViews>
    <customSheetView guid="{C6E026A6-065F-4BC7-8A1C-5537BAE31A06}" showPageBreaks="1" showGridLines="0" showRowCol="0" fitToPage="1" printArea="1">
      <selection activeCell="C9" sqref="C9"/>
      <pageMargins left="0.7" right="0.7" top="0.75" bottom="0.75" header="0.3" footer="0.3"/>
      <pageSetup scale="67" orientation="portrait" horizontalDpi="4294967293" verticalDpi="0" r:id="rId1"/>
    </customSheetView>
    <customSheetView guid="{C1E42E27-80DF-5D46-A74B-2BA4AA86045C}" showGridLines="0" showRowCol="0" fitToPage="1">
      <selection activeCell="S3" sqref="S3"/>
      <pageMargins left="0.7" right="0.7" top="0.75" bottom="0.75" header="0.3" footer="0.3"/>
      <pageSetup scale="67" orientation="portrait" horizontalDpi="4294967293" verticalDpi="0" r:id="rId2"/>
    </customSheetView>
  </customSheetViews>
  <pageMargins left="0.7" right="0.7" top="0.75" bottom="0.75" header="0.3" footer="0.3"/>
  <pageSetup scale="67" orientation="portrait" horizontalDpi="4294967293" verticalDpi="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heetViews>
  <sheetFormatPr defaultColWidth="8.85546875" defaultRowHeight="12.75"/>
  <cols>
    <col min="1" max="1" width="23.85546875" style="1" customWidth="1"/>
    <col min="2" max="2" width="11.85546875" style="1" customWidth="1"/>
    <col min="3" max="3" width="8.85546875" style="1"/>
    <col min="4" max="5" width="21.140625" style="1" customWidth="1"/>
    <col min="6" max="6" width="25.85546875" style="1" customWidth="1"/>
    <col min="7" max="7" width="21.85546875" style="1" customWidth="1"/>
    <col min="8" max="8" width="18.140625" style="1" customWidth="1"/>
    <col min="9" max="9" width="13" style="1" customWidth="1"/>
    <col min="10" max="16384" width="8.85546875" style="1"/>
  </cols>
  <sheetData>
    <row r="1" spans="1:11" ht="20.25">
      <c r="A1" s="12" t="s">
        <v>62</v>
      </c>
    </row>
    <row r="2" spans="1:11">
      <c r="A2" s="2" t="s">
        <v>24</v>
      </c>
      <c r="B2" s="2" t="s">
        <v>9</v>
      </c>
      <c r="C2" s="2" t="s">
        <v>4</v>
      </c>
      <c r="D2" s="2" t="s">
        <v>58</v>
      </c>
      <c r="E2" s="26" t="s">
        <v>7</v>
      </c>
      <c r="F2" s="2" t="s">
        <v>59</v>
      </c>
      <c r="G2" s="26" t="s">
        <v>5</v>
      </c>
      <c r="H2" s="26" t="s">
        <v>12</v>
      </c>
      <c r="I2" s="26" t="s">
        <v>6</v>
      </c>
    </row>
    <row r="3" spans="1:11">
      <c r="A3" s="11" t="s">
        <v>13</v>
      </c>
      <c r="B3" s="11" t="s">
        <v>17</v>
      </c>
      <c r="C3" s="3">
        <v>52</v>
      </c>
      <c r="D3" s="3">
        <v>26</v>
      </c>
      <c r="E3" s="3">
        <v>52</v>
      </c>
      <c r="F3" s="3">
        <v>26</v>
      </c>
      <c r="G3" s="3">
        <v>52</v>
      </c>
      <c r="H3" s="3">
        <v>26</v>
      </c>
      <c r="I3" s="3">
        <v>52</v>
      </c>
    </row>
    <row r="4" spans="1:11">
      <c r="A4" s="11" t="s">
        <v>8</v>
      </c>
      <c r="B4" s="11" t="s">
        <v>10</v>
      </c>
      <c r="C4" s="3">
        <f>Input!C8</f>
        <v>0</v>
      </c>
      <c r="D4" s="3">
        <f t="shared" ref="D4:I4" si="0">C$4</f>
        <v>0</v>
      </c>
      <c r="E4" s="3">
        <f t="shared" si="0"/>
        <v>0</v>
      </c>
      <c r="F4" s="3">
        <f t="shared" si="0"/>
        <v>0</v>
      </c>
      <c r="G4" s="3">
        <f t="shared" si="0"/>
        <v>0</v>
      </c>
      <c r="H4" s="3">
        <f t="shared" si="0"/>
        <v>0</v>
      </c>
      <c r="I4" s="3">
        <f t="shared" si="0"/>
        <v>0</v>
      </c>
    </row>
    <row r="5" spans="1:11">
      <c r="A5" s="11" t="s">
        <v>1</v>
      </c>
      <c r="B5" s="11" t="s">
        <v>11</v>
      </c>
      <c r="C5" s="3" t="e">
        <f>VLOOKUP(Input!$C$10,DropDowns_LookUps!$A$12:$H$17,8,FALSE)</f>
        <v>#N/A</v>
      </c>
      <c r="D5" s="3" t="e">
        <f>VLOOKUP(Input!$C$10,DropDowns_LookUps!$A$12:$G$17,2,FALSE)</f>
        <v>#N/A</v>
      </c>
      <c r="E5" s="3" t="e">
        <f>VLOOKUP(Input!$C$10,DropDowns_LookUps!$A$12:$G$17,3,FALSE)</f>
        <v>#N/A</v>
      </c>
      <c r="F5" s="3" t="e">
        <f>VLOOKUP(Input!$C$10,DropDowns_LookUps!$A$12:$G$17,4,FALSE)</f>
        <v>#N/A</v>
      </c>
      <c r="G5" s="3" t="e">
        <f>VLOOKUP(Input!$C$10,DropDowns_LookUps!$A$12:$G$17,5,FALSE)</f>
        <v>#N/A</v>
      </c>
      <c r="H5" s="3" t="e">
        <f>VLOOKUP(Input!$C$10,DropDowns_LookUps!$A$12:$G$17,6,FALSE)</f>
        <v>#N/A</v>
      </c>
      <c r="I5" s="3" t="e">
        <f>VLOOKUP(Input!$C$10,DropDowns_LookUps!$A$12:$G$17,7,FALSE)</f>
        <v>#N/A</v>
      </c>
    </row>
    <row r="6" spans="1:11">
      <c r="A6" s="11" t="s">
        <v>8</v>
      </c>
      <c r="B6" s="11" t="s">
        <v>11</v>
      </c>
      <c r="C6" s="3" t="e">
        <f t="shared" ref="C6:I6" si="1">C5*C4</f>
        <v>#N/A</v>
      </c>
      <c r="D6" s="3" t="e">
        <f t="shared" si="1"/>
        <v>#N/A</v>
      </c>
      <c r="E6" s="3" t="e">
        <f t="shared" si="1"/>
        <v>#N/A</v>
      </c>
      <c r="F6" s="3" t="e">
        <f t="shared" si="1"/>
        <v>#N/A</v>
      </c>
      <c r="G6" s="3" t="e">
        <f t="shared" si="1"/>
        <v>#N/A</v>
      </c>
      <c r="H6" s="3" t="e">
        <f t="shared" si="1"/>
        <v>#N/A</v>
      </c>
      <c r="I6" s="3" t="e">
        <f t="shared" si="1"/>
        <v>#N/A</v>
      </c>
    </row>
    <row r="7" spans="1:11">
      <c r="A7" s="11" t="s">
        <v>50</v>
      </c>
      <c r="B7" s="11" t="s">
        <v>54</v>
      </c>
      <c r="C7" s="4" t="e">
        <f>VLOOKUP(Input!$C$16,DropDowns_LookUps!$A$39:$H$43,8, FALSE)</f>
        <v>#N/A</v>
      </c>
      <c r="D7" s="4" t="e">
        <f>VLOOKUP(Input!$C$16,DropDowns_LookUps!$A$39:$G$43,2, FALSE)</f>
        <v>#N/A</v>
      </c>
      <c r="E7" s="4" t="e">
        <f>VLOOKUP(Input!$C$16,DropDowns_LookUps!$A$39:$G$43,3, FALSE)</f>
        <v>#N/A</v>
      </c>
      <c r="F7" s="4" t="e">
        <f>VLOOKUP(Input!$C$16,DropDowns_LookUps!$A$39:$G$43,4, FALSE)</f>
        <v>#N/A</v>
      </c>
      <c r="G7" s="4" t="e">
        <f>VLOOKUP(Input!$C$16,DropDowns_LookUps!$A$39:$G$43,5, FALSE)</f>
        <v>#N/A</v>
      </c>
      <c r="H7" s="4" t="e">
        <f>VLOOKUP(Input!$C$16,DropDowns_LookUps!$A$39:$G$43,6, FALSE)</f>
        <v>#N/A</v>
      </c>
      <c r="I7" s="4" t="e">
        <f>VLOOKUP(Input!$C$16,DropDowns_LookUps!$A$39:$G$43,7, FALSE)</f>
        <v>#N/A</v>
      </c>
    </row>
    <row r="8" spans="1:11">
      <c r="A8" s="11" t="s">
        <v>53</v>
      </c>
      <c r="B8" s="11" t="s">
        <v>54</v>
      </c>
      <c r="C8" s="3" t="e">
        <f>VLOOKUP(Input!$C$6,DropDowns_LookUps!$A$28:$F$36,5,TRUE)</f>
        <v>#N/A</v>
      </c>
      <c r="D8" s="3" t="e">
        <f>VLOOKUP(Input!$C$6,DropDowns_LookUps!$A$28:$F$36,5,TRUE)</f>
        <v>#N/A</v>
      </c>
      <c r="E8" s="3" t="e">
        <f>VLOOKUP(Input!$C$6,DropDowns_LookUps!$A$28:$F$36,5,TRUE)</f>
        <v>#N/A</v>
      </c>
      <c r="F8" s="3" t="e">
        <f>VLOOKUP(Input!$C$6,DropDowns_LookUps!$A$28:$F$36,5,TRUE)</f>
        <v>#N/A</v>
      </c>
      <c r="G8" s="3" t="e">
        <f>VLOOKUP(Input!$C$6,DropDowns_LookUps!$A$28:$F$36,5,TRUE)</f>
        <v>#N/A</v>
      </c>
      <c r="H8" s="3" t="e">
        <f>VLOOKUP(Input!$C$6,DropDowns_LookUps!$A$28:$F$36,5,TRUE)</f>
        <v>#N/A</v>
      </c>
      <c r="I8" s="3" t="e">
        <f>VLOOKUP(Input!$C$6,DropDowns_LookUps!$A$28:$F$36,5,TRUE)</f>
        <v>#N/A</v>
      </c>
    </row>
    <row r="9" spans="1:11">
      <c r="A9" s="11" t="s">
        <v>52</v>
      </c>
      <c r="B9" s="11" t="s">
        <v>54</v>
      </c>
      <c r="C9" s="3" t="e">
        <f>VLOOKUP(Input!$C$6,DropDowns_LookUps!$A$28:$F$36,6,TRUE)</f>
        <v>#N/A</v>
      </c>
      <c r="D9" s="3" t="e">
        <f>VLOOKUP(Input!$C$6,DropDowns_LookUps!$A$28:$F$36,6,TRUE)</f>
        <v>#N/A</v>
      </c>
      <c r="E9" s="3" t="e">
        <f>VLOOKUP(Input!$C$6,DropDowns_LookUps!$A$28:$F$36,6,TRUE)</f>
        <v>#N/A</v>
      </c>
      <c r="F9" s="3" t="e">
        <f>VLOOKUP(Input!$C$6,DropDowns_LookUps!$A$28:$F$36,6,TRUE)</f>
        <v>#N/A</v>
      </c>
      <c r="G9" s="3" t="e">
        <f>VLOOKUP(Input!$C$6,DropDowns_LookUps!$A$28:$F$36,6,TRUE)</f>
        <v>#N/A</v>
      </c>
      <c r="H9" s="3" t="e">
        <f>VLOOKUP(Input!$C$6,DropDowns_LookUps!$A$28:$F$36,6,TRUE)</f>
        <v>#N/A</v>
      </c>
      <c r="I9" s="3" t="e">
        <f>VLOOKUP(Input!$C$6,DropDowns_LookUps!$A$28:$F$36,6,TRUE)</f>
        <v>#N/A</v>
      </c>
    </row>
    <row r="10" spans="1:11">
      <c r="A10" s="11" t="s">
        <v>57</v>
      </c>
      <c r="B10" s="11" t="s">
        <v>54</v>
      </c>
      <c r="C10" s="3">
        <v>1</v>
      </c>
      <c r="D10" s="3">
        <v>1</v>
      </c>
      <c r="E10" s="3">
        <v>1</v>
      </c>
      <c r="F10" s="3">
        <v>1</v>
      </c>
      <c r="G10" s="3">
        <v>1</v>
      </c>
      <c r="H10" s="3" t="e">
        <f>VLOOKUP(Input!$C$14,DropDowns_LookUps!$A$52:$B$54,2,FALSE)</f>
        <v>#N/A</v>
      </c>
      <c r="I10" s="3" t="e">
        <f>VLOOKUP(Input!$C$14,DropDowns_LookUps!$A$52:$B$54,2,FALSE)</f>
        <v>#N/A</v>
      </c>
    </row>
    <row r="12" spans="1:11">
      <c r="A12" s="2" t="s">
        <v>14</v>
      </c>
    </row>
    <row r="13" spans="1:11">
      <c r="A13" s="11" t="s">
        <v>16</v>
      </c>
      <c r="B13" s="11" t="s">
        <v>11</v>
      </c>
      <c r="C13" s="14" t="e">
        <f>(C3*C6*(C7*C10))/2000</f>
        <v>#N/A</v>
      </c>
      <c r="D13" s="14" t="e">
        <f>(D3*D6*(D7*D10))/2000</f>
        <v>#N/A</v>
      </c>
      <c r="E13" s="14" t="e">
        <f t="shared" ref="E13:I13" si="2">(E3*E6*(E7*E10))/2000</f>
        <v>#N/A</v>
      </c>
      <c r="F13" s="14" t="e">
        <f t="shared" si="2"/>
        <v>#N/A</v>
      </c>
      <c r="G13" s="14" t="e">
        <f t="shared" si="2"/>
        <v>#N/A</v>
      </c>
      <c r="H13" s="14" t="e">
        <f t="shared" si="2"/>
        <v>#N/A</v>
      </c>
      <c r="I13" s="14" t="e">
        <f t="shared" si="2"/>
        <v>#N/A</v>
      </c>
      <c r="J13" s="44"/>
      <c r="K13" s="44"/>
    </row>
    <row r="14" spans="1:11">
      <c r="A14" s="11" t="s">
        <v>49</v>
      </c>
      <c r="B14" s="11" t="s">
        <v>11</v>
      </c>
      <c r="C14" s="14" t="e">
        <f>((C4*C9*C8)/2000)-C13</f>
        <v>#N/A</v>
      </c>
      <c r="D14" s="14" t="e">
        <f t="shared" ref="D14:I14" si="3">((D4*D9*D8)/2000)-D13</f>
        <v>#N/A</v>
      </c>
      <c r="E14" s="14" t="e">
        <f t="shared" si="3"/>
        <v>#N/A</v>
      </c>
      <c r="F14" s="14" t="e">
        <f t="shared" si="3"/>
        <v>#N/A</v>
      </c>
      <c r="G14" s="14" t="e">
        <f t="shared" si="3"/>
        <v>#N/A</v>
      </c>
      <c r="H14" s="14" t="e">
        <f t="shared" si="3"/>
        <v>#N/A</v>
      </c>
      <c r="I14" s="14" t="e">
        <f t="shared" si="3"/>
        <v>#N/A</v>
      </c>
      <c r="J14" s="44"/>
      <c r="K14" s="44"/>
    </row>
    <row r="15" spans="1:11">
      <c r="D15" s="9"/>
      <c r="E15" s="9"/>
      <c r="F15" s="9"/>
      <c r="G15" s="9"/>
      <c r="H15" s="9"/>
      <c r="I15" s="9"/>
    </row>
    <row r="16" spans="1:11">
      <c r="A16" s="2" t="s">
        <v>60</v>
      </c>
    </row>
    <row r="17" spans="1:9">
      <c r="A17" s="1" t="s">
        <v>61</v>
      </c>
      <c r="B17" s="1" t="s">
        <v>11</v>
      </c>
      <c r="C17" s="10" t="e">
        <f>C13/(C13+C14)</f>
        <v>#N/A</v>
      </c>
      <c r="D17" s="10" t="e">
        <f>D13/(D13+D14)</f>
        <v>#N/A</v>
      </c>
      <c r="E17" s="10" t="e">
        <f t="shared" ref="E17:I17" si="4">E13/(E13+E14)</f>
        <v>#N/A</v>
      </c>
      <c r="F17" s="10" t="e">
        <f t="shared" si="4"/>
        <v>#N/A</v>
      </c>
      <c r="G17" s="10" t="e">
        <f t="shared" si="4"/>
        <v>#N/A</v>
      </c>
      <c r="H17" s="10" t="e">
        <f t="shared" si="4"/>
        <v>#N/A</v>
      </c>
      <c r="I17" s="10" t="e">
        <f t="shared" si="4"/>
        <v>#N/A</v>
      </c>
    </row>
  </sheetData>
  <sheetProtection algorithmName="SHA-512" hashValue="HHQSrLdYYjYqj4xwu953rWS1gB/G3WK3QKgPMKr5Eqrm3tNZXLkplUwqhVZ2qHz0JQUM6pRepetd0lVu+Mt5Dg==" saltValue="vST1CWYlQpYMAKnBXAFfUQ==" spinCount="100000" sheet="1" objects="1" scenarios="1"/>
  <customSheetViews>
    <customSheetView guid="{C6E026A6-065F-4BC7-8A1C-5537BAE31A06}" state="hidden">
      <pageMargins left="0.7" right="0.7" top="0.75" bottom="0.75" header="0.3" footer="0.3"/>
    </customSheetView>
    <customSheetView guid="{C1E42E27-80DF-5D46-A74B-2BA4AA86045C}" state="hidden">
      <pageMargins left="0.7" right="0.7" top="0.75" bottom="0.75" header="0.3" footer="0.3"/>
    </customSheetView>
    <customSheetView guid="{487CB698-FD0E-4580-BCE5-B1F3904B4ADD}">
      <selection activeCell="F21" sqref="F21"/>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heetViews>
  <sheetFormatPr defaultColWidth="8.85546875" defaultRowHeight="15"/>
  <cols>
    <col min="1" max="1" width="24.140625" customWidth="1"/>
    <col min="2" max="9" width="15" customWidth="1"/>
    <col min="10" max="10" width="13.140625" bestFit="1" customWidth="1"/>
    <col min="11" max="11" width="10.85546875" bestFit="1" customWidth="1"/>
    <col min="12" max="12" width="11.85546875" bestFit="1" customWidth="1"/>
  </cols>
  <sheetData>
    <row r="1" spans="1:12" ht="20.25">
      <c r="A1" s="12" t="s">
        <v>78</v>
      </c>
      <c r="C1" s="54"/>
    </row>
    <row r="2" spans="1:12">
      <c r="A2" s="2" t="s">
        <v>24</v>
      </c>
      <c r="B2" s="2" t="s">
        <v>9</v>
      </c>
      <c r="C2" s="2" t="s">
        <v>529</v>
      </c>
      <c r="D2" s="2" t="s">
        <v>58</v>
      </c>
      <c r="E2" s="2" t="s">
        <v>7</v>
      </c>
      <c r="F2" s="2" t="s">
        <v>59</v>
      </c>
      <c r="G2" s="2" t="s">
        <v>5</v>
      </c>
      <c r="H2" s="2" t="s">
        <v>12</v>
      </c>
      <c r="I2" s="2" t="s">
        <v>6</v>
      </c>
    </row>
    <row r="3" spans="1:12">
      <c r="A3" s="11" t="s">
        <v>63</v>
      </c>
      <c r="B3" s="11" t="s">
        <v>10</v>
      </c>
      <c r="C3" s="4" t="e">
        <f>VLOOKUP(Input!$C$10,DropDowns_LookUps!$A$12:$I$17,9,FALSE)</f>
        <v>#N/A</v>
      </c>
      <c r="D3" s="3" t="e">
        <f>VLOOKUP(Input!$C$10,DropDowns_LookUps!$A$12:$I$17,8,FALSE)</f>
        <v>#N/A</v>
      </c>
      <c r="E3" s="3" t="e">
        <f>VLOOKUP(Input!$C$10,DropDowns_LookUps!$A$12:$I$17,8,FALSE)</f>
        <v>#N/A</v>
      </c>
      <c r="F3" s="3" t="e">
        <f>VLOOKUP(Input!$C$10,DropDowns_LookUps!$A$12:$I$17,8,FALSE)</f>
        <v>#N/A</v>
      </c>
      <c r="G3" s="3" t="e">
        <f>VLOOKUP(Input!$C$10,DropDowns_LookUps!$A$12:$I$17,8,FALSE)</f>
        <v>#N/A</v>
      </c>
      <c r="H3" s="3" t="e">
        <f>VLOOKUP(Input!$C$10,DropDowns_LookUps!$A$12:$I$17,8,FALSE)</f>
        <v>#N/A</v>
      </c>
      <c r="I3" s="3" t="e">
        <f>VLOOKUP(Input!$C$10,DropDowns_LookUps!$A$12:$I$17,8,FALSE)</f>
        <v>#N/A</v>
      </c>
    </row>
    <row r="4" spans="1:12">
      <c r="A4" s="11" t="s">
        <v>456</v>
      </c>
      <c r="B4" s="11" t="s">
        <v>11</v>
      </c>
      <c r="C4" s="25" t="e">
        <f>ROUNDUP(3*TruckCosts!C8*1.2,0)</f>
        <v>#N/A</v>
      </c>
      <c r="D4" s="14" t="e">
        <f>IF(ContainerCosts!D3&gt;0,Input!$C$8,TonnageImpacts!D6)</f>
        <v>#N/A</v>
      </c>
      <c r="E4" s="14" t="e">
        <f>IF(ContainerCosts!E3&gt;0,Input!$C$8,TonnageImpacts!E6)</f>
        <v>#N/A</v>
      </c>
      <c r="F4" s="14" t="e">
        <f>IF(ContainerCosts!F3&gt;0,Input!$C$8,TonnageImpacts!F6)</f>
        <v>#N/A</v>
      </c>
      <c r="G4" s="14" t="e">
        <f>IF(ContainerCosts!G3&gt;0,Input!$C$8,TonnageImpacts!G6)</f>
        <v>#N/A</v>
      </c>
      <c r="H4" s="14" t="e">
        <f>IF(ContainerCosts!H3&gt;0,Input!$C$8,TonnageImpacts!H6)</f>
        <v>#N/A</v>
      </c>
      <c r="I4" s="14" t="e">
        <f>IF(ContainerCosts!I3&gt;0,Input!$C$8,TonnageImpacts!I6)</f>
        <v>#N/A</v>
      </c>
    </row>
    <row r="5" spans="1:12">
      <c r="A5" s="11" t="s">
        <v>96</v>
      </c>
      <c r="B5" s="11" t="s">
        <v>65</v>
      </c>
      <c r="C5" s="17">
        <v>0</v>
      </c>
      <c r="D5" s="17">
        <f>AssumptionTables!$C$6</f>
        <v>0.05</v>
      </c>
      <c r="E5" s="17">
        <f>AssumptionTables!$C$6</f>
        <v>0.05</v>
      </c>
      <c r="F5" s="17">
        <f>AssumptionTables!$C$6</f>
        <v>0.05</v>
      </c>
      <c r="G5" s="17">
        <f>AssumptionTables!$C$6</f>
        <v>0.05</v>
      </c>
      <c r="H5" s="17">
        <f>AssumptionTables!$C$6</f>
        <v>0.05</v>
      </c>
      <c r="I5" s="17">
        <f>AssumptionTables!$C$6</f>
        <v>0.05</v>
      </c>
    </row>
    <row r="6" spans="1:12">
      <c r="A6" s="11" t="s">
        <v>89</v>
      </c>
      <c r="B6" s="11" t="s">
        <v>65</v>
      </c>
      <c r="C6" s="16">
        <f>AssumptionTables!C46</f>
        <v>4000</v>
      </c>
      <c r="D6" s="16">
        <f>AssumptionTables!C5</f>
        <v>15</v>
      </c>
      <c r="E6" s="16">
        <f>AssumptionTables!C5</f>
        <v>15</v>
      </c>
      <c r="F6" s="16">
        <f>AssumptionTables!$C$4</f>
        <v>50</v>
      </c>
      <c r="G6" s="16">
        <f>AssumptionTables!$C$4</f>
        <v>50</v>
      </c>
      <c r="H6" s="16">
        <f>AssumptionTables!$C$4</f>
        <v>50</v>
      </c>
      <c r="I6" s="16">
        <f>AssumptionTables!$C$4</f>
        <v>50</v>
      </c>
    </row>
    <row r="7" spans="1:12">
      <c r="A7" s="18" t="s">
        <v>110</v>
      </c>
      <c r="B7" s="18" t="s">
        <v>111</v>
      </c>
      <c r="C7" s="3">
        <v>1</v>
      </c>
      <c r="D7" s="3">
        <v>2</v>
      </c>
      <c r="E7" s="3">
        <v>2</v>
      </c>
      <c r="F7" s="3">
        <v>2</v>
      </c>
      <c r="G7" s="3">
        <v>2</v>
      </c>
      <c r="H7" s="3">
        <v>1</v>
      </c>
      <c r="I7" s="3">
        <v>1</v>
      </c>
      <c r="L7" s="20"/>
    </row>
    <row r="8" spans="1:12">
      <c r="A8" s="11" t="s">
        <v>114</v>
      </c>
      <c r="B8" s="11" t="s">
        <v>11</v>
      </c>
      <c r="C8" s="16" t="e">
        <f>((C4+(C4*C5))*C6)*C7</f>
        <v>#N/A</v>
      </c>
      <c r="D8" s="16" t="e">
        <f>((D4+(D4*D5))*D6)*D7</f>
        <v>#N/A</v>
      </c>
      <c r="E8" s="16" t="e">
        <f t="shared" ref="E8:I8" si="0">((E4+(E4*E5))*E6)*E7</f>
        <v>#N/A</v>
      </c>
      <c r="F8" s="16" t="e">
        <f>((F4+(F4*F5))*F6)*F7</f>
        <v>#N/A</v>
      </c>
      <c r="G8" s="16" t="e">
        <f t="shared" si="0"/>
        <v>#N/A</v>
      </c>
      <c r="H8" s="16" t="e">
        <f t="shared" si="0"/>
        <v>#N/A</v>
      </c>
      <c r="I8" s="16" t="e">
        <f t="shared" si="0"/>
        <v>#N/A</v>
      </c>
    </row>
    <row r="9" spans="1:12">
      <c r="A9" s="11" t="s">
        <v>120</v>
      </c>
      <c r="B9" s="11" t="s">
        <v>116</v>
      </c>
      <c r="C9" s="16" t="e">
        <f>-PMT(AssumptionTables!$C$18,AssumptionTables!$C$17,ContainerCosts!C8)</f>
        <v>#N/A</v>
      </c>
      <c r="D9" s="16" t="e">
        <f>-PMT(AssumptionTables!$C$18,AssumptionTables!$C$17,ContainerCosts!D8)</f>
        <v>#N/A</v>
      </c>
      <c r="E9" s="16" t="e">
        <f>-PMT(AssumptionTables!$C$18,AssumptionTables!$C$17,ContainerCosts!E8)</f>
        <v>#N/A</v>
      </c>
      <c r="F9" s="16" t="e">
        <f>-PMT(AssumptionTables!$C$18,AssumptionTables!$C$17,ContainerCosts!F8)</f>
        <v>#N/A</v>
      </c>
      <c r="G9" s="16" t="e">
        <f>-PMT(AssumptionTables!$C$18,AssumptionTables!$C$17,ContainerCosts!G8)</f>
        <v>#N/A</v>
      </c>
      <c r="H9" s="16" t="e">
        <f>-PMT(AssumptionTables!$C$18,AssumptionTables!$C$17,ContainerCosts!H8)</f>
        <v>#N/A</v>
      </c>
      <c r="I9" s="16" t="e">
        <f>-PMT(AssumptionTables!$C$18,AssumptionTables!$C$17,ContainerCosts!I8)</f>
        <v>#N/A</v>
      </c>
      <c r="J9" s="19"/>
    </row>
    <row r="10" spans="1:12">
      <c r="A10" s="11" t="s">
        <v>121</v>
      </c>
      <c r="B10" s="11" t="s">
        <v>11</v>
      </c>
      <c r="C10" s="16" t="e">
        <f>C9*AssumptionTables!$C$17</f>
        <v>#N/A</v>
      </c>
      <c r="D10" s="98" t="e">
        <f>D9*AssumptionTables!$C$17</f>
        <v>#N/A</v>
      </c>
      <c r="E10" s="16" t="e">
        <f>E9*AssumptionTables!$C$17</f>
        <v>#N/A</v>
      </c>
      <c r="F10" s="16" t="e">
        <f>F9*AssumptionTables!$C$17</f>
        <v>#N/A</v>
      </c>
      <c r="G10" s="16" t="e">
        <f>G9*AssumptionTables!$C$17</f>
        <v>#N/A</v>
      </c>
      <c r="H10" s="16" t="e">
        <f>H9*AssumptionTables!$C$17</f>
        <v>#N/A</v>
      </c>
      <c r="I10" s="16" t="e">
        <f>I9*AssumptionTables!$C$17</f>
        <v>#N/A</v>
      </c>
      <c r="J10" s="19"/>
    </row>
    <row r="11" spans="1:12">
      <c r="A11" s="11" t="s">
        <v>119</v>
      </c>
      <c r="B11" s="11" t="s">
        <v>11</v>
      </c>
      <c r="C11" s="16" t="e">
        <f>C4*AssumptionTables!$C$8*C6</f>
        <v>#N/A</v>
      </c>
      <c r="D11" s="16" t="e">
        <f>D4*AssumptionTables!$C$8*D6</f>
        <v>#N/A</v>
      </c>
      <c r="E11" s="16" t="e">
        <f>E4*AssumptionTables!$C$8*E6</f>
        <v>#N/A</v>
      </c>
      <c r="F11" s="16" t="e">
        <f>F4*AssumptionTables!$C$9*F6</f>
        <v>#N/A</v>
      </c>
      <c r="G11" s="16" t="e">
        <f>G4*AssumptionTables!$C$9*G6</f>
        <v>#N/A</v>
      </c>
      <c r="H11" s="16" t="e">
        <f>H4*AssumptionTables!$C$7*H6</f>
        <v>#N/A</v>
      </c>
      <c r="I11" s="16" t="e">
        <f>I4*AssumptionTables!$C$7*I6</f>
        <v>#N/A</v>
      </c>
      <c r="J11" s="19"/>
    </row>
    <row r="12" spans="1:12">
      <c r="A12" s="18" t="s">
        <v>90</v>
      </c>
      <c r="B12" s="18" t="s">
        <v>65</v>
      </c>
      <c r="C12" s="55">
        <v>0</v>
      </c>
      <c r="D12" s="13">
        <f>AssumptionTables!$C$11</f>
        <v>0.5</v>
      </c>
      <c r="E12" s="13">
        <f>AssumptionTables!$C$11</f>
        <v>0.5</v>
      </c>
      <c r="F12" s="13">
        <f>AssumptionTables!$C$10</f>
        <v>1.33</v>
      </c>
      <c r="G12" s="13">
        <f>AssumptionTables!$C$10</f>
        <v>1.33</v>
      </c>
      <c r="H12" s="13">
        <f>AssumptionTables!$C$10</f>
        <v>1.33</v>
      </c>
      <c r="I12" s="13">
        <f>AssumptionTables!$C$10</f>
        <v>1.33</v>
      </c>
      <c r="K12" s="19"/>
      <c r="L12" s="19"/>
    </row>
    <row r="13" spans="1:12">
      <c r="A13" s="18" t="s">
        <v>91</v>
      </c>
      <c r="B13" s="18" t="s">
        <v>65</v>
      </c>
      <c r="C13" s="55">
        <v>0</v>
      </c>
      <c r="D13" s="13">
        <f>AssumptionTables!C13</f>
        <v>0</v>
      </c>
      <c r="E13" s="13">
        <f>AssumptionTables!C13</f>
        <v>0</v>
      </c>
      <c r="F13" s="13">
        <f>AssumptionTables!C11</f>
        <v>0.5</v>
      </c>
      <c r="G13" s="13">
        <f>AssumptionTables!C11</f>
        <v>0.5</v>
      </c>
      <c r="H13" s="13">
        <f>AssumptionTables!C11</f>
        <v>0.5</v>
      </c>
      <c r="I13" s="13">
        <f>AssumptionTables!C11</f>
        <v>0.5</v>
      </c>
      <c r="L13" s="19"/>
    </row>
    <row r="14" spans="1:12">
      <c r="A14" s="18" t="s">
        <v>109</v>
      </c>
      <c r="B14" s="18" t="s">
        <v>65</v>
      </c>
      <c r="C14" s="3">
        <f>AssumptionTables!$C$14</f>
        <v>0.5</v>
      </c>
      <c r="D14" s="3">
        <f>AssumptionTables!$C$14</f>
        <v>0.5</v>
      </c>
      <c r="E14" s="3">
        <f>AssumptionTables!$C$14</f>
        <v>0.5</v>
      </c>
      <c r="F14" s="3">
        <f>AssumptionTables!$C$14</f>
        <v>0.5</v>
      </c>
      <c r="G14" s="3">
        <f>AssumptionTables!$C$14</f>
        <v>0.5</v>
      </c>
      <c r="H14" s="3">
        <f>AssumptionTables!$C$14</f>
        <v>0.5</v>
      </c>
      <c r="I14" s="3">
        <f>AssumptionTables!$C$14</f>
        <v>0.5</v>
      </c>
    </row>
    <row r="15" spans="1:12">
      <c r="A15" s="18" t="s">
        <v>123</v>
      </c>
      <c r="B15" s="18" t="s">
        <v>11</v>
      </c>
      <c r="C15" s="21">
        <v>0</v>
      </c>
      <c r="D15" s="21" t="e">
        <f>(D4*D12)+(D4*D14)</f>
        <v>#N/A</v>
      </c>
      <c r="E15" s="21" t="e">
        <f t="shared" ref="E15:I15" si="1">(E4*E12)+(E4*E14)</f>
        <v>#N/A</v>
      </c>
      <c r="F15" s="21" t="e">
        <f t="shared" si="1"/>
        <v>#N/A</v>
      </c>
      <c r="G15" s="21" t="e">
        <f t="shared" si="1"/>
        <v>#N/A</v>
      </c>
      <c r="H15" s="21" t="e">
        <f t="shared" si="1"/>
        <v>#N/A</v>
      </c>
      <c r="I15" s="21" t="e">
        <f t="shared" si="1"/>
        <v>#N/A</v>
      </c>
    </row>
    <row r="16" spans="1:12">
      <c r="A16" s="18" t="s">
        <v>124</v>
      </c>
      <c r="B16" s="18"/>
      <c r="C16" s="15" t="e">
        <f>(C4*C13)+C11</f>
        <v>#N/A</v>
      </c>
      <c r="D16" s="15" t="e">
        <f>(D4*D13)+D11</f>
        <v>#N/A</v>
      </c>
      <c r="E16" s="15" t="e">
        <f t="shared" ref="E16:I16" si="2">(E4*E13)+E11</f>
        <v>#N/A</v>
      </c>
      <c r="F16" s="15" t="e">
        <f t="shared" si="2"/>
        <v>#N/A</v>
      </c>
      <c r="G16" s="15" t="e">
        <f t="shared" si="2"/>
        <v>#N/A</v>
      </c>
      <c r="H16" s="15" t="e">
        <f t="shared" si="2"/>
        <v>#N/A</v>
      </c>
      <c r="I16" s="15" t="e">
        <f t="shared" si="2"/>
        <v>#N/A</v>
      </c>
    </row>
    <row r="17" spans="1:9">
      <c r="A17" s="18"/>
      <c r="B17" s="18"/>
      <c r="C17" s="3"/>
      <c r="D17" s="3"/>
      <c r="E17" s="3"/>
      <c r="F17" s="3"/>
      <c r="G17" s="3"/>
      <c r="H17" s="3"/>
      <c r="I17" s="3"/>
    </row>
    <row r="18" spans="1:9">
      <c r="A18" s="18"/>
      <c r="B18" s="18"/>
      <c r="C18" s="3"/>
      <c r="D18" s="3"/>
      <c r="E18" s="3"/>
      <c r="F18" s="3"/>
      <c r="G18" s="3"/>
      <c r="H18" s="3"/>
      <c r="I18" s="3"/>
    </row>
    <row r="19" spans="1:9">
      <c r="A19" s="1"/>
      <c r="B19" s="1"/>
      <c r="C19" s="1"/>
      <c r="D19" s="1"/>
      <c r="E19" s="1"/>
      <c r="F19" s="1"/>
      <c r="G19" s="1"/>
      <c r="H19" s="1"/>
      <c r="I19" s="1"/>
    </row>
    <row r="20" spans="1:9">
      <c r="A20" s="2" t="s">
        <v>14</v>
      </c>
      <c r="B20" s="1"/>
      <c r="C20" s="1"/>
      <c r="D20" s="1"/>
      <c r="E20" s="1"/>
      <c r="F20" s="1"/>
      <c r="G20" s="1"/>
      <c r="H20" s="1"/>
      <c r="I20" s="1"/>
    </row>
    <row r="21" spans="1:9">
      <c r="A21" s="11" t="s">
        <v>122</v>
      </c>
      <c r="B21" s="11"/>
      <c r="C21" s="22" t="e">
        <f>C10+C15+C16</f>
        <v>#N/A</v>
      </c>
      <c r="D21" s="22" t="e">
        <f>D10+D15+D16</f>
        <v>#N/A</v>
      </c>
      <c r="E21" s="22" t="e">
        <f t="shared" ref="E21:I21" si="3">E10+E15+E16</f>
        <v>#N/A</v>
      </c>
      <c r="F21" s="22" t="e">
        <f t="shared" si="3"/>
        <v>#N/A</v>
      </c>
      <c r="G21" s="22" t="e">
        <f t="shared" si="3"/>
        <v>#N/A</v>
      </c>
      <c r="H21" s="22" t="e">
        <f t="shared" si="3"/>
        <v>#N/A</v>
      </c>
      <c r="I21" s="22" t="e">
        <f t="shared" si="3"/>
        <v>#N/A</v>
      </c>
    </row>
    <row r="22" spans="1:9">
      <c r="A22" s="11" t="s">
        <v>408</v>
      </c>
      <c r="B22" s="11"/>
      <c r="C22" s="22" t="e">
        <f>C10</f>
        <v>#N/A</v>
      </c>
      <c r="D22" s="22" t="e">
        <f>D10</f>
        <v>#N/A</v>
      </c>
      <c r="E22" s="22" t="e">
        <f t="shared" ref="E22:I22" si="4">E10</f>
        <v>#N/A</v>
      </c>
      <c r="F22" s="22" t="e">
        <f t="shared" si="4"/>
        <v>#N/A</v>
      </c>
      <c r="G22" s="22" t="e">
        <f t="shared" si="4"/>
        <v>#N/A</v>
      </c>
      <c r="H22" s="22" t="e">
        <f t="shared" si="4"/>
        <v>#N/A</v>
      </c>
      <c r="I22" s="22" t="e">
        <f t="shared" si="4"/>
        <v>#N/A</v>
      </c>
    </row>
    <row r="23" spans="1:9">
      <c r="A23" s="11" t="s">
        <v>472</v>
      </c>
      <c r="B23" s="11"/>
      <c r="C23" s="22" t="e">
        <f>C16+C15</f>
        <v>#N/A</v>
      </c>
      <c r="D23" s="22" t="e">
        <f>D16+D15</f>
        <v>#N/A</v>
      </c>
      <c r="E23" s="22" t="e">
        <f t="shared" ref="E23:I23" si="5">E16+E15</f>
        <v>#N/A</v>
      </c>
      <c r="F23" s="22" t="e">
        <f t="shared" si="5"/>
        <v>#N/A</v>
      </c>
      <c r="G23" s="22" t="e">
        <f t="shared" si="5"/>
        <v>#N/A</v>
      </c>
      <c r="H23" s="22" t="e">
        <f t="shared" si="5"/>
        <v>#N/A</v>
      </c>
      <c r="I23" s="22" t="e">
        <f t="shared" si="5"/>
        <v>#N/A</v>
      </c>
    </row>
    <row r="24" spans="1:9">
      <c r="A24" s="11" t="s">
        <v>473</v>
      </c>
      <c r="B24" s="11"/>
      <c r="C24" s="22" t="e">
        <f>C21/AssumptionTables!$C$17</f>
        <v>#N/A</v>
      </c>
      <c r="D24" s="99" t="e">
        <f>D21/AssumptionTables!$C$17</f>
        <v>#N/A</v>
      </c>
      <c r="E24" s="22" t="e">
        <f>E21/AssumptionTables!$C$17</f>
        <v>#N/A</v>
      </c>
      <c r="F24" s="22" t="e">
        <f>F21/AssumptionTables!$C$17</f>
        <v>#N/A</v>
      </c>
      <c r="G24" s="22" t="e">
        <f>G21/AssumptionTables!$C$17</f>
        <v>#N/A</v>
      </c>
      <c r="H24" s="22" t="e">
        <f>H21/AssumptionTables!$C$17</f>
        <v>#N/A</v>
      </c>
      <c r="I24" s="22" t="e">
        <f>I21/AssumptionTables!$C$17</f>
        <v>#N/A</v>
      </c>
    </row>
    <row r="25" spans="1:9">
      <c r="A25" s="11" t="s">
        <v>474</v>
      </c>
      <c r="B25" s="11"/>
      <c r="C25" s="23" t="e">
        <f>C23/AssumptionTables!$C$17</f>
        <v>#N/A</v>
      </c>
      <c r="D25" s="23" t="e">
        <f>D23/AssumptionTables!$C$17</f>
        <v>#N/A</v>
      </c>
      <c r="E25" s="23" t="e">
        <f>E23/AssumptionTables!$C$17</f>
        <v>#N/A</v>
      </c>
      <c r="F25" s="23" t="e">
        <f>F23/AssumptionTables!$C$17</f>
        <v>#N/A</v>
      </c>
      <c r="G25" s="23" t="e">
        <f>G23/AssumptionTables!$C$17</f>
        <v>#N/A</v>
      </c>
      <c r="H25" s="23" t="e">
        <f>H23/AssumptionTables!$C$17</f>
        <v>#N/A</v>
      </c>
      <c r="I25" s="23" t="e">
        <f>I23/AssumptionTables!$C$17</f>
        <v>#N/A</v>
      </c>
    </row>
  </sheetData>
  <sheetProtection algorithmName="SHA-512" hashValue="8hr8G+ndPhdMakMmcDpi615rI0H9mPIyCyB8nu1ju1z2/zuqkAR/sNENbKNO0JsOsztq9lwtnckegs4wA8/sOQ==" saltValue="3noLfxHbaVN6+Kh4EOQj0w==" spinCount="100000" sheet="1" objects="1" scenarios="1"/>
  <customSheetViews>
    <customSheetView guid="{C6E026A6-065F-4BC7-8A1C-5537BAE31A06}" state="hidden">
      <pageMargins left="0.7" right="0.7" top="0.75" bottom="0.75" header="0.3" footer="0.3"/>
    </customSheetView>
    <customSheetView guid="{C1E42E27-80DF-5D46-A74B-2BA4AA86045C}" state="hidden">
      <pageMargins left="0.7" right="0.7" top="0.75" bottom="0.75" header="0.3" footer="0.3"/>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topLeftCell="G36" workbookViewId="0">
      <selection activeCell="P40" sqref="P40"/>
    </sheetView>
  </sheetViews>
  <sheetFormatPr defaultColWidth="8.85546875" defaultRowHeight="12.75"/>
  <cols>
    <col min="1" max="1" width="21.140625" style="1" customWidth="1"/>
    <col min="2" max="2" width="14.85546875" style="1" customWidth="1"/>
    <col min="3" max="3" width="9.42578125" style="1" bestFit="1" customWidth="1"/>
    <col min="4" max="4" width="11.85546875" style="1" customWidth="1"/>
    <col min="5" max="5" width="11.42578125" style="1" customWidth="1"/>
    <col min="6" max="6" width="10" style="1" customWidth="1"/>
    <col min="7" max="7" width="13" style="1" bestFit="1" customWidth="1"/>
    <col min="8" max="8" width="9.85546875" style="1" customWidth="1"/>
    <col min="9" max="9" width="11.85546875" style="1" customWidth="1"/>
    <col min="10" max="11" width="8.85546875" style="1"/>
    <col min="12" max="12" width="36.42578125" style="1" bestFit="1" customWidth="1"/>
    <col min="13" max="14" width="8.85546875" style="1"/>
    <col min="15" max="16" width="11.140625" style="1" customWidth="1"/>
    <col min="17" max="18" width="10.42578125" style="1" customWidth="1"/>
    <col min="19" max="19" width="10.85546875" style="1" customWidth="1"/>
    <col min="20" max="20" width="10.42578125" style="1" customWidth="1"/>
    <col min="21" max="16384" width="8.85546875" style="1"/>
  </cols>
  <sheetData>
    <row r="1" spans="1:20" ht="20.25">
      <c r="A1" s="12" t="s">
        <v>180</v>
      </c>
      <c r="C1" s="50"/>
      <c r="K1" s="469" t="s">
        <v>598</v>
      </c>
    </row>
    <row r="2" spans="1:20" s="51" customFormat="1" ht="38.25">
      <c r="B2" s="51" t="s">
        <v>9</v>
      </c>
      <c r="C2" s="100" t="s">
        <v>529</v>
      </c>
      <c r="D2" s="52" t="s">
        <v>58</v>
      </c>
      <c r="E2" s="52" t="s">
        <v>7</v>
      </c>
      <c r="F2" s="52" t="s">
        <v>59</v>
      </c>
      <c r="G2" s="52" t="s">
        <v>5</v>
      </c>
      <c r="H2" s="52" t="s">
        <v>12</v>
      </c>
      <c r="I2" s="52" t="s">
        <v>6</v>
      </c>
      <c r="L2" s="470">
        <f t="shared" ref="L2:L36" si="0">A2</f>
        <v>0</v>
      </c>
      <c r="M2" s="470" t="str">
        <f t="shared" ref="M2:M36" si="1">B2</f>
        <v>Source</v>
      </c>
      <c r="N2" s="471" t="str">
        <f t="shared" ref="N2:N5" si="2">C2</f>
        <v>Recycling Drop-Off</v>
      </c>
      <c r="O2" s="472" t="str">
        <f t="shared" ref="O2:O5" si="3">D2</f>
        <v>Dual Stream Bins EOW</v>
      </c>
      <c r="P2" s="472" t="str">
        <f t="shared" ref="P2:P5" si="4">E2</f>
        <v>Dual Stream Bins Weekly</v>
      </c>
      <c r="Q2" s="472" t="str">
        <f t="shared" ref="Q2:Q5" si="5">F2</f>
        <v>Dual Stream Carts EOW</v>
      </c>
      <c r="R2" s="472" t="str">
        <f t="shared" ref="R2:R5" si="6">G2</f>
        <v>Dual Stream Carts Weekly</v>
      </c>
      <c r="S2" s="472" t="str">
        <f t="shared" ref="S2:S5" si="7">H2</f>
        <v>SS Carts EOW</v>
      </c>
      <c r="T2" s="472" t="str">
        <f t="shared" ref="T2:T5" si="8">I2</f>
        <v>SS Carts Weekly</v>
      </c>
    </row>
    <row r="3" spans="1:20">
      <c r="A3" s="3" t="s">
        <v>8</v>
      </c>
      <c r="B3" s="3" t="s">
        <v>126</v>
      </c>
      <c r="C3" s="3" t="e">
        <f>TonnageImpacts!C6</f>
        <v>#N/A</v>
      </c>
      <c r="D3" s="3" t="e">
        <f>TonnageImpacts!D6</f>
        <v>#N/A</v>
      </c>
      <c r="E3" s="3" t="e">
        <f>TonnageImpacts!E6</f>
        <v>#N/A</v>
      </c>
      <c r="F3" s="3" t="e">
        <f>TonnageImpacts!F6</f>
        <v>#N/A</v>
      </c>
      <c r="G3" s="3" t="e">
        <f>TonnageImpacts!G6</f>
        <v>#N/A</v>
      </c>
      <c r="H3" s="3" t="e">
        <f>TonnageImpacts!H6</f>
        <v>#N/A</v>
      </c>
      <c r="I3" s="3" t="e">
        <f>TonnageImpacts!I6</f>
        <v>#N/A</v>
      </c>
      <c r="L3" s="3" t="str">
        <f t="shared" si="0"/>
        <v>Number of HHs</v>
      </c>
      <c r="M3" s="3" t="str">
        <f t="shared" si="1"/>
        <v>TonnageSheet</v>
      </c>
      <c r="N3" s="3" t="e">
        <f t="shared" si="2"/>
        <v>#N/A</v>
      </c>
      <c r="O3" s="3" t="e">
        <f t="shared" si="3"/>
        <v>#N/A</v>
      </c>
      <c r="P3" s="3" t="e">
        <f t="shared" si="4"/>
        <v>#N/A</v>
      </c>
      <c r="Q3" s="3" t="e">
        <f t="shared" si="5"/>
        <v>#N/A</v>
      </c>
      <c r="R3" s="3" t="e">
        <f t="shared" si="6"/>
        <v>#N/A</v>
      </c>
      <c r="S3" s="3" t="e">
        <f t="shared" si="7"/>
        <v>#N/A</v>
      </c>
      <c r="T3" s="3" t="e">
        <f t="shared" si="8"/>
        <v>#N/A</v>
      </c>
    </row>
    <row r="4" spans="1:20">
      <c r="A4" s="3" t="s">
        <v>142</v>
      </c>
      <c r="B4" s="3" t="s">
        <v>11</v>
      </c>
      <c r="C4" s="66" t="e">
        <f>ROUNDUP(C3*DropDowns_LookUps!$H$45/2000/52*2000/Rollofff_Density/Rollofff_Utilization_Factor/Rolloff_Capacity,0)</f>
        <v>#N/A</v>
      </c>
      <c r="D4" s="3" t="e">
        <f>D3*0.5</f>
        <v>#N/A</v>
      </c>
      <c r="E4" s="3" t="e">
        <f>E3*1</f>
        <v>#N/A</v>
      </c>
      <c r="F4" s="3" t="e">
        <f>F3*1</f>
        <v>#N/A</v>
      </c>
      <c r="G4" s="3" t="e">
        <f>G3*2</f>
        <v>#N/A</v>
      </c>
      <c r="H4" s="3" t="e">
        <f>H3*0.63</f>
        <v>#N/A</v>
      </c>
      <c r="I4" s="3" t="e">
        <f>I3*1</f>
        <v>#N/A</v>
      </c>
      <c r="L4" s="3" t="str">
        <f t="shared" si="0"/>
        <v>Number of stops / week</v>
      </c>
      <c r="M4" s="3" t="str">
        <f t="shared" si="1"/>
        <v>Calc</v>
      </c>
      <c r="N4" s="66" t="e">
        <f t="shared" si="2"/>
        <v>#N/A</v>
      </c>
      <c r="O4" s="3" t="e">
        <f t="shared" si="3"/>
        <v>#N/A</v>
      </c>
      <c r="P4" s="3" t="e">
        <f t="shared" si="4"/>
        <v>#N/A</v>
      </c>
      <c r="Q4" s="3" t="e">
        <f t="shared" si="5"/>
        <v>#N/A</v>
      </c>
      <c r="R4" s="3" t="e">
        <f t="shared" si="6"/>
        <v>#N/A</v>
      </c>
      <c r="S4" s="3" t="e">
        <f t="shared" si="7"/>
        <v>#N/A</v>
      </c>
      <c r="T4" s="3" t="e">
        <f t="shared" si="8"/>
        <v>#N/A</v>
      </c>
    </row>
    <row r="5" spans="1:20">
      <c r="A5" s="3" t="s">
        <v>141</v>
      </c>
      <c r="B5" s="3" t="s">
        <v>54</v>
      </c>
      <c r="C5" s="67" t="e">
        <f>C4</f>
        <v>#N/A</v>
      </c>
      <c r="D5" s="7" t="e">
        <f>VLOOKUP(Input!$C$12,DropDowns_LookUps!$A$20:$D$25,2,FALSE)</f>
        <v>#N/A</v>
      </c>
      <c r="E5" s="7" t="e">
        <f>VLOOKUP(Input!$C$12,DropDowns_LookUps!$A$20:$D$25,2,FALSE)</f>
        <v>#N/A</v>
      </c>
      <c r="F5" s="7" t="e">
        <f>VLOOKUP(Input!$C$12,DropDowns_LookUps!$A$20:$D$25,4,FALSE)</f>
        <v>#N/A</v>
      </c>
      <c r="G5" s="7" t="e">
        <f>VLOOKUP(Input!$C$12,DropDowns_LookUps!$A$20:$D$25,4,FALSE)</f>
        <v>#N/A</v>
      </c>
      <c r="H5" s="7" t="e">
        <f>VLOOKUP(Input!$C$12,DropDowns_LookUps!$A$20:$D$25,4,FALSE)</f>
        <v>#N/A</v>
      </c>
      <c r="I5" s="7" t="e">
        <f>VLOOKUP(Input!$C$12,DropDowns_LookUps!$A$20:$D$25,4,FALSE)</f>
        <v>#N/A</v>
      </c>
      <c r="L5" s="3" t="str">
        <f t="shared" si="0"/>
        <v>Route Density (stops)</v>
      </c>
      <c r="M5" s="3" t="str">
        <f t="shared" si="1"/>
        <v>Lookup</v>
      </c>
      <c r="N5" s="67" t="e">
        <f t="shared" si="2"/>
        <v>#N/A</v>
      </c>
      <c r="O5" s="7" t="e">
        <f t="shared" si="3"/>
        <v>#N/A</v>
      </c>
      <c r="P5" s="7" t="e">
        <f t="shared" si="4"/>
        <v>#N/A</v>
      </c>
      <c r="Q5" s="7" t="e">
        <f t="shared" si="5"/>
        <v>#N/A</v>
      </c>
      <c r="R5" s="7" t="e">
        <f t="shared" si="6"/>
        <v>#N/A</v>
      </c>
      <c r="S5" s="7" t="e">
        <f t="shared" si="7"/>
        <v>#N/A</v>
      </c>
      <c r="T5" s="7" t="e">
        <f t="shared" si="8"/>
        <v>#N/A</v>
      </c>
    </row>
    <row r="6" spans="1:20">
      <c r="A6" s="3" t="s">
        <v>599</v>
      </c>
      <c r="B6" s="67" t="s">
        <v>493</v>
      </c>
      <c r="C6" s="67" t="s">
        <v>493</v>
      </c>
      <c r="D6" s="67" t="s">
        <v>493</v>
      </c>
      <c r="E6" s="67" t="s">
        <v>493</v>
      </c>
      <c r="F6" s="67" t="s">
        <v>493</v>
      </c>
      <c r="G6" s="67" t="s">
        <v>493</v>
      </c>
      <c r="H6" s="67" t="s">
        <v>493</v>
      </c>
      <c r="I6" s="67" t="s">
        <v>493</v>
      </c>
      <c r="L6" s="3" t="str">
        <f t="shared" si="0"/>
        <v>Multiplier for Direct Haul</v>
      </c>
      <c r="M6" s="3" t="s">
        <v>54</v>
      </c>
      <c r="N6" s="475"/>
      <c r="O6" s="7" t="e">
        <f>(O5/8)*VLOOKUP(Input!$C$22,DropDowns_LookUps!$A$87:$B$94,2,FALSE)</f>
        <v>#N/A</v>
      </c>
      <c r="P6" s="7" t="e">
        <f>(P5/8)*VLOOKUP(Input!$C$22,DropDowns_LookUps!$A$87:$B$94,2,FALSE)</f>
        <v>#N/A</v>
      </c>
      <c r="Q6" s="7" t="e">
        <f>(Q5/8)*VLOOKUP(Input!$C$22,DropDowns_LookUps!$A$87:$B$94,2,FALSE)</f>
        <v>#N/A</v>
      </c>
      <c r="R6" s="7" t="e">
        <f>(R5/8)*VLOOKUP(Input!$C$22,DropDowns_LookUps!$A$87:$B$94,2,FALSE)</f>
        <v>#N/A</v>
      </c>
      <c r="S6" s="7" t="e">
        <f>(S5/8)*VLOOKUP(Input!$C$22,DropDowns_LookUps!$A$87:$B$94,2,FALSE)</f>
        <v>#N/A</v>
      </c>
      <c r="T6" s="7" t="e">
        <f>(T5/8)*VLOOKUP(Input!$C$22,DropDowns_LookUps!$A$87:$B$94,2,FALSE)</f>
        <v>#N/A</v>
      </c>
    </row>
    <row r="7" spans="1:20">
      <c r="A7" s="3" t="s">
        <v>15</v>
      </c>
      <c r="B7" s="3" t="s">
        <v>11</v>
      </c>
      <c r="C7" s="7" t="e">
        <f>C4/5</f>
        <v>#N/A</v>
      </c>
      <c r="D7" s="24" t="e">
        <f>D4/D5</f>
        <v>#N/A</v>
      </c>
      <c r="E7" s="24" t="e">
        <f t="shared" ref="E7:I7" si="9">E4/E5</f>
        <v>#N/A</v>
      </c>
      <c r="F7" s="24" t="e">
        <f t="shared" si="9"/>
        <v>#N/A</v>
      </c>
      <c r="G7" s="24" t="e">
        <f t="shared" si="9"/>
        <v>#N/A</v>
      </c>
      <c r="H7" s="24" t="e">
        <f t="shared" si="9"/>
        <v>#N/A</v>
      </c>
      <c r="I7" s="24" t="e">
        <f t="shared" si="9"/>
        <v>#N/A</v>
      </c>
      <c r="L7" s="3" t="str">
        <f t="shared" si="0"/>
        <v>Number of Routes</v>
      </c>
      <c r="M7" s="3" t="str">
        <f t="shared" si="1"/>
        <v>Calc</v>
      </c>
      <c r="N7" s="7" t="e">
        <f>N4/5</f>
        <v>#N/A</v>
      </c>
      <c r="O7" s="24" t="e">
        <f>O4/O6</f>
        <v>#N/A</v>
      </c>
      <c r="P7" s="24" t="e">
        <f t="shared" ref="P7:T7" si="10">P4/P6</f>
        <v>#N/A</v>
      </c>
      <c r="Q7" s="24" t="e">
        <f t="shared" si="10"/>
        <v>#N/A</v>
      </c>
      <c r="R7" s="24" t="e">
        <f t="shared" si="10"/>
        <v>#N/A</v>
      </c>
      <c r="S7" s="24" t="e">
        <f t="shared" si="10"/>
        <v>#N/A</v>
      </c>
      <c r="T7" s="24" t="e">
        <f t="shared" si="10"/>
        <v>#N/A</v>
      </c>
    </row>
    <row r="8" spans="1:20">
      <c r="A8" s="3" t="s">
        <v>128</v>
      </c>
      <c r="B8" s="3" t="s">
        <v>11</v>
      </c>
      <c r="C8" s="24" t="e">
        <f>C7/5</f>
        <v>#N/A</v>
      </c>
      <c r="D8" s="24" t="e">
        <f>D7/5</f>
        <v>#N/A</v>
      </c>
      <c r="E8" s="24" t="e">
        <f t="shared" ref="E8:I8" si="11">E7/5</f>
        <v>#N/A</v>
      </c>
      <c r="F8" s="24" t="e">
        <f t="shared" si="11"/>
        <v>#N/A</v>
      </c>
      <c r="G8" s="24" t="e">
        <f t="shared" si="11"/>
        <v>#N/A</v>
      </c>
      <c r="H8" s="24" t="e">
        <f t="shared" si="11"/>
        <v>#N/A</v>
      </c>
      <c r="I8" s="24" t="e">
        <f t="shared" si="11"/>
        <v>#N/A</v>
      </c>
      <c r="L8" s="3" t="str">
        <f t="shared" si="0"/>
        <v>Number of Route Days</v>
      </c>
      <c r="M8" s="3" t="str">
        <f t="shared" si="1"/>
        <v>Calc</v>
      </c>
      <c r="N8" s="24" t="e">
        <f>N7/5</f>
        <v>#N/A</v>
      </c>
      <c r="O8" s="24" t="e">
        <f>O7/5</f>
        <v>#N/A</v>
      </c>
      <c r="P8" s="24" t="e">
        <f t="shared" ref="P8:T8" si="12">P7/5</f>
        <v>#N/A</v>
      </c>
      <c r="Q8" s="24" t="e">
        <f t="shared" si="12"/>
        <v>#N/A</v>
      </c>
      <c r="R8" s="24" t="e">
        <f t="shared" si="12"/>
        <v>#N/A</v>
      </c>
      <c r="S8" s="24" t="e">
        <f t="shared" si="12"/>
        <v>#N/A</v>
      </c>
      <c r="T8" s="24" t="e">
        <f t="shared" si="12"/>
        <v>#N/A</v>
      </c>
    </row>
    <row r="9" spans="1:20">
      <c r="A9" s="3" t="s">
        <v>132</v>
      </c>
      <c r="B9" s="3" t="s">
        <v>136</v>
      </c>
      <c r="C9" s="14" t="e">
        <f>IF(C8&lt;1,1,IF((C8)-(ROUNDDOWN(C8,0))&gt;AssumptionTables!$C$19,ROUNDUP(C8,0),ROUNDDOWN(C8,0)))</f>
        <v>#N/A</v>
      </c>
      <c r="D9" s="14" t="e">
        <f>IF(D8&lt;1,1,IF((D8)-(ROUNDDOWN(D8,0))&gt;AssumptionTables!$C$19,ROUNDUP(D8,0),ROUNDDOWN(D8,0)))</f>
        <v>#N/A</v>
      </c>
      <c r="E9" s="14" t="e">
        <f>IF(E8&lt;1,1,IF((E8)-(ROUNDDOWN(E8,0))&gt;AssumptionTables!$C$19,ROUNDUP(E8,0),ROUNDDOWN(E8,0)))</f>
        <v>#N/A</v>
      </c>
      <c r="F9" s="14" t="e">
        <f>IF(F8&lt;1,1,IF((F8)-(ROUNDDOWN(F8,0))&gt;AssumptionTables!$C$19,ROUNDUP(F8,0),ROUNDDOWN(F8,0)))</f>
        <v>#N/A</v>
      </c>
      <c r="G9" s="14" t="e">
        <f>IF(G8&lt;1,1,IF((G8)-(ROUNDDOWN(G8,0))&gt;AssumptionTables!$C$19,ROUNDUP(G8,0),ROUNDDOWN(G8,0)))</f>
        <v>#N/A</v>
      </c>
      <c r="H9" s="14" t="e">
        <f>IF(H8&lt;1,1,IF((H8)-(ROUNDDOWN(H8,0))&gt;AssumptionTables!$C$19,ROUNDUP(H8,0),ROUNDDOWN(H8,0)))</f>
        <v>#N/A</v>
      </c>
      <c r="I9" s="14" t="e">
        <f>IF(I8&lt;1,1,IF((I8)-(ROUNDDOWN(I8,0))&gt;AssumptionTables!$C$19,ROUNDUP(I8,0),ROUNDDOWN(I8,0)))</f>
        <v>#N/A</v>
      </c>
      <c r="L9" s="3" t="str">
        <f t="shared" si="0"/>
        <v>Number of Trucks for Routes</v>
      </c>
      <c r="M9" s="3" t="str">
        <f t="shared" si="1"/>
        <v>Calc / Assumption</v>
      </c>
      <c r="N9" s="14" t="e">
        <f>IF(N8&lt;1,1,IF((N8)-(ROUNDDOWN(N8,0))&gt;AssumptionTables!$C$19,ROUNDUP(N8,0),ROUNDDOWN(N8,0)))</f>
        <v>#N/A</v>
      </c>
      <c r="O9" s="14" t="e">
        <f>IF(O8&lt;1,1,IF((O8)-(ROUNDDOWN(O8,0))&gt;AssumptionTables!$C$19,ROUNDUP(O8,0),ROUNDDOWN(O8,0)))</f>
        <v>#N/A</v>
      </c>
      <c r="P9" s="14" t="e">
        <f>IF(P8&lt;1,1,IF((P8)-(ROUNDDOWN(P8,0))&gt;AssumptionTables!$C$19,ROUNDUP(P8,0),ROUNDDOWN(P8,0)))</f>
        <v>#N/A</v>
      </c>
      <c r="Q9" s="14" t="e">
        <f>IF(Q8&lt;1,1,IF((Q8)-(ROUNDDOWN(Q8,0))&gt;AssumptionTables!$C$19,ROUNDUP(Q8,0),ROUNDDOWN(Q8,0)))</f>
        <v>#N/A</v>
      </c>
      <c r="R9" s="14" t="e">
        <f>IF(R8&lt;1,1,IF((R8)-(ROUNDDOWN(R8,0))&gt;AssumptionTables!$C$19,ROUNDUP(R8,0),ROUNDDOWN(R8,0)))</f>
        <v>#N/A</v>
      </c>
      <c r="S9" s="14" t="e">
        <f>IF(S8&lt;1,1,IF((S8)-(ROUNDDOWN(S8,0))&gt;AssumptionTables!$C$19,ROUNDUP(S8,0),ROUNDDOWN(S8,0)))</f>
        <v>#N/A</v>
      </c>
      <c r="T9" s="14" t="e">
        <f>IF(T8&lt;1,1,IF((T8)-(ROUNDDOWN(T8,0))&gt;AssumptionTables!$C$19,ROUNDUP(T8,0),ROUNDDOWN(T8,0)))</f>
        <v>#N/A</v>
      </c>
    </row>
    <row r="10" spans="1:20">
      <c r="A10" s="3" t="s">
        <v>133</v>
      </c>
      <c r="B10" s="3" t="s">
        <v>136</v>
      </c>
      <c r="C10" s="14" t="e">
        <f>IF(C9&lt;AssumptionTables!$C$20,0,IF(C9&lt;AssumptionTables!$C$20*2,1,IF(C9&lt;AssumptionTables!$C$20*3,2,IF(C9&lt;AssumptionTables!$C$20*4,3,IF(C9&lt;AssumptionTables!$C$20*5,4,IF(C9&lt;AssumptionTables!$C$20*6,5,IF(C9&lt;AssumptionTables!$C$20*7,6)*IF(C9&lt;AssumptionTables!$C$20*8,7)))))))</f>
        <v>#N/A</v>
      </c>
      <c r="D10" s="14" t="e">
        <f>IF(D9&lt;AssumptionTables!$C$20,0,IF(D9&lt;AssumptionTables!$C$20*2,1,IF(D9&lt;AssumptionTables!$C$20*3,2,IF(D9&lt;AssumptionTables!$C$20*4,3,IF(D9&lt;AssumptionTables!$C$20*5,4,IF(D9&lt;AssumptionTables!$C$20*6,5,IF(D9&lt;AssumptionTables!$C$20*7,6)*IF(D9&lt;AssumptionTables!$C$20*8,7)))))))</f>
        <v>#N/A</v>
      </c>
      <c r="E10" s="14" t="e">
        <f>IF(E9&lt;AssumptionTables!$C$20,0,IF(E9&lt;AssumptionTables!$C$20*2,1,IF(E9&lt;AssumptionTables!$C$20*3,2,IF(E9&lt;AssumptionTables!$C$20*4,3,IF(E9&lt;AssumptionTables!$C$20*5,4,IF(E9&lt;AssumptionTables!$C$20*6,5,IF(E9&lt;AssumptionTables!$C$20*7,6)*IF(E9&lt;AssumptionTables!$C$20*8,7)))))))</f>
        <v>#N/A</v>
      </c>
      <c r="F10" s="14" t="e">
        <f>IF(F9&lt;AssumptionTables!$C$20,0,IF(F9&lt;AssumptionTables!$C$20*2,1,IF(F9&lt;AssumptionTables!$C$20*3,2,IF(F9&lt;AssumptionTables!$C$20*4,3,IF(F9&lt;AssumptionTables!$C$20*5,4,IF(F9&lt;AssumptionTables!$C$20*6,5,IF(F9&lt;AssumptionTables!$C$20*7,6)*IF(F9&lt;AssumptionTables!$C$20*8,7)))))))</f>
        <v>#N/A</v>
      </c>
      <c r="G10" s="14" t="e">
        <f>IF(G9&lt;AssumptionTables!$C$20,0,IF(G9&lt;AssumptionTables!$C$20*2,1,IF(G9&lt;AssumptionTables!$C$20*3,2,IF(G9&lt;AssumptionTables!$C$20*4,3,IF(G9&lt;AssumptionTables!$C$20*5,4,IF(G9&lt;AssumptionTables!$C$20*6,5,IF(G9&lt;AssumptionTables!$C$20*7,6,IF(G9&lt;AssumptionTables!$C$20*7,6,IF(G9&lt;AssumptionTables!$C$20*8,7, IF(G9&lt;100,8))))))))))</f>
        <v>#N/A</v>
      </c>
      <c r="H10" s="14" t="e">
        <f>IF(H9&lt;AssumptionTables!$C$20,0,IF(H9&lt;AssumptionTables!$C$20*2,1,IF(H9&lt;AssumptionTables!$C$20*3,2,IF(H9&lt;AssumptionTables!$C$20*4,3,IF(H9&lt;AssumptionTables!$C$20*5,4,IF(H9&lt;AssumptionTables!$C$20*6,5,IF(H9&lt;AssumptionTables!$C$20*7,6)*IF(H9&lt;AssumptionTables!$C$20*8,7)))))))</f>
        <v>#N/A</v>
      </c>
      <c r="I10" s="14" t="e">
        <f>IF(I9&lt;AssumptionTables!$C$20,0,IF(I9&lt;AssumptionTables!$C$20*2,1,IF(I9&lt;AssumptionTables!$C$20*3,2,IF(I9&lt;AssumptionTables!$C$20*4,3,IF(I9&lt;AssumptionTables!$C$20*5,4,IF(I9&lt;AssumptionTables!$C$20*6,5,IF(I9&lt;AssumptionTables!$C$20*7,6)*IF(I9&lt;AssumptionTables!$C$20*8,7)))))))</f>
        <v>#N/A</v>
      </c>
      <c r="L10" s="3" t="str">
        <f t="shared" si="0"/>
        <v>Number of Back up Trucks</v>
      </c>
      <c r="M10" s="3" t="str">
        <f t="shared" si="1"/>
        <v>Calc / Assumption</v>
      </c>
      <c r="N10" s="14" t="e">
        <f>IF(N9&lt;AssumptionTables!$C$20,0,IF(N9&lt;AssumptionTables!$C$20*2,1,IF(N9&lt;AssumptionTables!$C$20*3,2,IF(N9&lt;AssumptionTables!$C$20*4,3,IF(N9&lt;AssumptionTables!$C$20*5,4,IF(N9&lt;AssumptionTables!$C$20*6,5,IF(N9&lt;AssumptionTables!$C$20*7,6)*IF(N9&lt;AssumptionTables!$C$20*8,7)))))))</f>
        <v>#N/A</v>
      </c>
      <c r="O10" s="14" t="e">
        <f>IF(O9&lt;AssumptionTables!$C$20,0,IF(O9&lt;AssumptionTables!$C$20*2,1,IF(O9&lt;AssumptionTables!$C$20*3,2,IF(O9&lt;AssumptionTables!$C$20*4,3,IF(O9&lt;AssumptionTables!$C$20*5,4,IF(O9&lt;AssumptionTables!$C$20*6,5,IF(O9&lt;AssumptionTables!$C$20*7,6)*IF(O9&lt;AssumptionTables!$C$20*8,7)))))))</f>
        <v>#N/A</v>
      </c>
      <c r="P10" s="14" t="e">
        <f>IF(P9&lt;AssumptionTables!$C$20,0,IF(P9&lt;AssumptionTables!$C$20*2,1,IF(P9&lt;AssumptionTables!$C$20*3,2,IF(P9&lt;AssumptionTables!$C$20*4,3,IF(P9&lt;AssumptionTables!$C$20*5,4,IF(P9&lt;AssumptionTables!$C$20*6,5,IF(P9&lt;AssumptionTables!$C$20*7,6)*IF(P9&lt;AssumptionTables!$C$20*8,7)))))))</f>
        <v>#N/A</v>
      </c>
      <c r="Q10" s="14" t="e">
        <f>IF(Q9&lt;AssumptionTables!$C$20,0,IF(Q9&lt;AssumptionTables!$C$20*2,1,IF(Q9&lt;AssumptionTables!$C$20*3,2,IF(Q9&lt;AssumptionTables!$C$20*4,3,IF(Q9&lt;AssumptionTables!$C$20*5,4,IF(Q9&lt;AssumptionTables!$C$20*6,5,IF(Q9&lt;AssumptionTables!$C$20*7,6)*IF(Q9&lt;AssumptionTables!$C$20*8,7)))))))</f>
        <v>#N/A</v>
      </c>
      <c r="R10" s="14" t="e">
        <f>IF(R9&lt;AssumptionTables!$C$20,0,IF(R9&lt;AssumptionTables!$C$20*2,1,IF(R9&lt;AssumptionTables!$C$20*3,2,IF(R9&lt;AssumptionTables!$C$20*4,3,IF(R9&lt;AssumptionTables!$C$20*5,4,IF(R9&lt;AssumptionTables!$C$20*6,5,IF(R9&lt;AssumptionTables!$C$20*7,6,IF(R9&lt;AssumptionTables!$C$20*7,6,IF(R9&lt;AssumptionTables!$C$20*8,7, IF(R9&lt;100,8))))))))))</f>
        <v>#N/A</v>
      </c>
      <c r="S10" s="14" t="e">
        <f>IF(S9&lt;AssumptionTables!$C$20,0,IF(S9&lt;AssumptionTables!$C$20*2,1,IF(S9&lt;AssumptionTables!$C$20*3,2,IF(S9&lt;AssumptionTables!$C$20*4,3,IF(S9&lt;AssumptionTables!$C$20*5,4,IF(S9&lt;AssumptionTables!$C$20*6,5,IF(S9&lt;AssumptionTables!$C$20*7,6)*IF(S9&lt;AssumptionTables!$C$20*8,7)))))))</f>
        <v>#N/A</v>
      </c>
      <c r="T10" s="14" t="e">
        <f>IF(T9&lt;AssumptionTables!$C$20,0,IF(T9&lt;AssumptionTables!$C$20*2,1,IF(T9&lt;AssumptionTables!$C$20*3,2,IF(T9&lt;AssumptionTables!$C$20*4,3,IF(T9&lt;AssumptionTables!$C$20*5,4,IF(T9&lt;AssumptionTables!$C$20*6,5,IF(T9&lt;AssumptionTables!$C$20*7,6)*IF(T9&lt;AssumptionTables!$C$20*8,7)))))))</f>
        <v>#N/A</v>
      </c>
    </row>
    <row r="11" spans="1:20">
      <c r="A11" s="3" t="s">
        <v>137</v>
      </c>
      <c r="B11" s="3" t="s">
        <v>11</v>
      </c>
      <c r="C11" s="21" t="e">
        <f>C9+C10</f>
        <v>#N/A</v>
      </c>
      <c r="D11" s="21" t="e">
        <f>D9+D10</f>
        <v>#N/A</v>
      </c>
      <c r="E11" s="21" t="e">
        <f t="shared" ref="E11:I11" si="13">E9+E10</f>
        <v>#N/A</v>
      </c>
      <c r="F11" s="21" t="e">
        <f t="shared" si="13"/>
        <v>#N/A</v>
      </c>
      <c r="G11" s="21" t="e">
        <f t="shared" si="13"/>
        <v>#N/A</v>
      </c>
      <c r="H11" s="21" t="e">
        <f t="shared" si="13"/>
        <v>#N/A</v>
      </c>
      <c r="I11" s="21" t="e">
        <f t="shared" si="13"/>
        <v>#N/A</v>
      </c>
      <c r="L11" s="3" t="str">
        <f t="shared" si="0"/>
        <v>Total Number of Trucks</v>
      </c>
      <c r="M11" s="3" t="str">
        <f t="shared" si="1"/>
        <v>Calc</v>
      </c>
      <c r="N11" s="21" t="e">
        <f>N9+N10</f>
        <v>#N/A</v>
      </c>
      <c r="O11" s="21" t="e">
        <f>O9+O10</f>
        <v>#N/A</v>
      </c>
      <c r="P11" s="21" t="e">
        <f t="shared" ref="P11:T11" si="14">P9+P10</f>
        <v>#N/A</v>
      </c>
      <c r="Q11" s="21" t="e">
        <f t="shared" si="14"/>
        <v>#N/A</v>
      </c>
      <c r="R11" s="21" t="e">
        <f t="shared" si="14"/>
        <v>#N/A</v>
      </c>
      <c r="S11" s="21" t="e">
        <f t="shared" si="14"/>
        <v>#N/A</v>
      </c>
      <c r="T11" s="21" t="e">
        <f t="shared" si="14"/>
        <v>#N/A</v>
      </c>
    </row>
    <row r="12" spans="1:20">
      <c r="A12" s="3" t="s">
        <v>139</v>
      </c>
      <c r="B12" s="3" t="s">
        <v>138</v>
      </c>
      <c r="C12" s="3">
        <f>AssumptionTables!C21</f>
        <v>160000</v>
      </c>
      <c r="D12" s="3">
        <f>AssumptionTables!C22</f>
        <v>250000</v>
      </c>
      <c r="E12" s="3">
        <f>AssumptionTables!C22</f>
        <v>250000</v>
      </c>
      <c r="F12" s="3">
        <f>AssumptionTables!$C$23</f>
        <v>320000</v>
      </c>
      <c r="G12" s="3">
        <f>AssumptionTables!$C$23</f>
        <v>320000</v>
      </c>
      <c r="H12" s="3">
        <f>AssumptionTables!$C$23</f>
        <v>320000</v>
      </c>
      <c r="I12" s="3">
        <f>AssumptionTables!$C$23</f>
        <v>320000</v>
      </c>
      <c r="L12" s="3" t="str">
        <f t="shared" si="0"/>
        <v>Cost per Truck - Capital</v>
      </c>
      <c r="M12" s="3" t="str">
        <f t="shared" si="1"/>
        <v>Assumption</v>
      </c>
      <c r="N12" s="3">
        <f>AssumptionTables!C21</f>
        <v>160000</v>
      </c>
      <c r="O12" s="3">
        <f>AssumptionTables!C22</f>
        <v>250000</v>
      </c>
      <c r="P12" s="3">
        <f>AssumptionTables!C22</f>
        <v>250000</v>
      </c>
      <c r="Q12" s="3">
        <f>AssumptionTables!$C$23</f>
        <v>320000</v>
      </c>
      <c r="R12" s="3">
        <f>AssumptionTables!$C$23</f>
        <v>320000</v>
      </c>
      <c r="S12" s="3">
        <f>AssumptionTables!$C$23</f>
        <v>320000</v>
      </c>
      <c r="T12" s="3">
        <f>AssumptionTables!$C$23</f>
        <v>320000</v>
      </c>
    </row>
    <row r="13" spans="1:20">
      <c r="A13" s="3" t="s">
        <v>154</v>
      </c>
      <c r="B13" s="3" t="s">
        <v>11</v>
      </c>
      <c r="C13" s="21" t="e">
        <f>C11*C12</f>
        <v>#N/A</v>
      </c>
      <c r="D13" s="21" t="e">
        <f>D11*D12</f>
        <v>#N/A</v>
      </c>
      <c r="E13" s="21" t="e">
        <f t="shared" ref="E13:I13" si="15">E11*E12</f>
        <v>#N/A</v>
      </c>
      <c r="F13" s="21" t="e">
        <f t="shared" si="15"/>
        <v>#N/A</v>
      </c>
      <c r="G13" s="21" t="e">
        <f t="shared" si="15"/>
        <v>#N/A</v>
      </c>
      <c r="H13" s="21" t="e">
        <f t="shared" si="15"/>
        <v>#N/A</v>
      </c>
      <c r="I13" s="21" t="e">
        <f t="shared" si="15"/>
        <v>#N/A</v>
      </c>
      <c r="L13" s="3" t="str">
        <f t="shared" si="0"/>
        <v>Total initial capital Trucks</v>
      </c>
      <c r="M13" s="3" t="str">
        <f t="shared" si="1"/>
        <v>Calc</v>
      </c>
      <c r="N13" s="21" t="e">
        <f>N11*N12</f>
        <v>#N/A</v>
      </c>
      <c r="O13" s="21" t="e">
        <f>O11*O12</f>
        <v>#N/A</v>
      </c>
      <c r="P13" s="21" t="e">
        <f t="shared" ref="P13:T13" si="16">P11*P12</f>
        <v>#N/A</v>
      </c>
      <c r="Q13" s="21" t="e">
        <f t="shared" si="16"/>
        <v>#N/A</v>
      </c>
      <c r="R13" s="21" t="e">
        <f t="shared" si="16"/>
        <v>#N/A</v>
      </c>
      <c r="S13" s="21" t="e">
        <f t="shared" si="16"/>
        <v>#N/A</v>
      </c>
      <c r="T13" s="21" t="e">
        <f t="shared" si="16"/>
        <v>#N/A</v>
      </c>
    </row>
    <row r="14" spans="1:20">
      <c r="A14" s="3" t="s">
        <v>140</v>
      </c>
      <c r="B14" s="3" t="s">
        <v>136</v>
      </c>
      <c r="C14" s="15" t="e">
        <f>-PMT(AssumptionTables!$C$18,AssumptionTables!$C$17,TruckCosts!C13)</f>
        <v>#N/A</v>
      </c>
      <c r="D14" s="15" t="e">
        <f>-PMT(AssumptionTables!$C$18,AssumptionTables!$C$17,TruckCosts!D13)</f>
        <v>#N/A</v>
      </c>
      <c r="E14" s="15" t="e">
        <f>-PMT(AssumptionTables!$C$18,AssumptionTables!$C$17,TruckCosts!E13)</f>
        <v>#N/A</v>
      </c>
      <c r="F14" s="15" t="e">
        <f>-PMT(AssumptionTables!$C$18,AssumptionTables!$C$17,TruckCosts!F13)</f>
        <v>#N/A</v>
      </c>
      <c r="G14" s="15" t="e">
        <f>-PMT(AssumptionTables!$C$18,AssumptionTables!$C$17,TruckCosts!G13)</f>
        <v>#N/A</v>
      </c>
      <c r="H14" s="15" t="e">
        <f>-PMT(AssumptionTables!$C$18,AssumptionTables!$C$17,TruckCosts!H13)</f>
        <v>#N/A</v>
      </c>
      <c r="I14" s="15" t="e">
        <f>-PMT(AssumptionTables!$C$18,AssumptionTables!$C$17,TruckCosts!I13)</f>
        <v>#N/A</v>
      </c>
      <c r="L14" s="3" t="str">
        <f t="shared" si="0"/>
        <v>Annual loan payment</v>
      </c>
      <c r="M14" s="3" t="str">
        <f t="shared" si="1"/>
        <v>Calc / Assumption</v>
      </c>
      <c r="N14" s="15" t="e">
        <f>-PMT(AssumptionTables!$C$18,AssumptionTables!$C$17,TruckCosts!N13)</f>
        <v>#N/A</v>
      </c>
      <c r="O14" s="15" t="e">
        <f>-PMT(AssumptionTables!$C$18,AssumptionTables!$C$17,TruckCosts!O13)</f>
        <v>#N/A</v>
      </c>
      <c r="P14" s="15" t="e">
        <f>-PMT(AssumptionTables!$C$18,AssumptionTables!$C$17,TruckCosts!P13)</f>
        <v>#N/A</v>
      </c>
      <c r="Q14" s="15" t="e">
        <f>-PMT(AssumptionTables!$C$18,AssumptionTables!$C$17,TruckCosts!Q13)</f>
        <v>#N/A</v>
      </c>
      <c r="R14" s="15" t="e">
        <f>-PMT(AssumptionTables!$C$18,AssumptionTables!$C$17,TruckCosts!R13)</f>
        <v>#N/A</v>
      </c>
      <c r="S14" s="15" t="e">
        <f>-PMT(AssumptionTables!$C$18,AssumptionTables!$C$17,TruckCosts!S13)</f>
        <v>#N/A</v>
      </c>
      <c r="T14" s="15" t="e">
        <f>-PMT(AssumptionTables!$C$18,AssumptionTables!$C$17,TruckCosts!T13)</f>
        <v>#N/A</v>
      </c>
    </row>
    <row r="15" spans="1:20">
      <c r="A15" s="3" t="s">
        <v>155</v>
      </c>
      <c r="B15" s="3" t="s">
        <v>11</v>
      </c>
      <c r="C15" s="15" t="e">
        <f>C14*AssumptionTables!$C17</f>
        <v>#N/A</v>
      </c>
      <c r="D15" s="15" t="e">
        <f>D14*AssumptionTables!$C17</f>
        <v>#N/A</v>
      </c>
      <c r="E15" s="15" t="e">
        <f>E14*AssumptionTables!$C17</f>
        <v>#N/A</v>
      </c>
      <c r="F15" s="15" t="e">
        <f>F14*AssumptionTables!$C17</f>
        <v>#N/A</v>
      </c>
      <c r="G15" s="15" t="e">
        <f>G14*AssumptionTables!$C17</f>
        <v>#N/A</v>
      </c>
      <c r="H15" s="15" t="e">
        <f>H14*AssumptionTables!$C17</f>
        <v>#N/A</v>
      </c>
      <c r="I15" s="15" t="e">
        <f>I14*AssumptionTables!$C17</f>
        <v>#N/A</v>
      </c>
      <c r="L15" s="3" t="str">
        <f t="shared" si="0"/>
        <v>Total Capital including interest</v>
      </c>
      <c r="M15" s="3" t="str">
        <f t="shared" si="1"/>
        <v>Calc</v>
      </c>
      <c r="N15" s="15" t="e">
        <f>N14*AssumptionTables!$C17</f>
        <v>#N/A</v>
      </c>
      <c r="O15" s="15" t="e">
        <f>O14*AssumptionTables!$C17</f>
        <v>#N/A</v>
      </c>
      <c r="P15" s="15" t="e">
        <f>P14*AssumptionTables!$C17</f>
        <v>#N/A</v>
      </c>
      <c r="Q15" s="15" t="e">
        <f>Q14*AssumptionTables!$C17</f>
        <v>#N/A</v>
      </c>
      <c r="R15" s="15" t="e">
        <f>R14*AssumptionTables!$C17</f>
        <v>#N/A</v>
      </c>
      <c r="S15" s="15" t="e">
        <f>S14*AssumptionTables!$C17</f>
        <v>#N/A</v>
      </c>
      <c r="T15" s="15" t="e">
        <f>T14*AssumptionTables!$C17</f>
        <v>#N/A</v>
      </c>
    </row>
    <row r="16" spans="1:20">
      <c r="A16" s="3" t="s">
        <v>152</v>
      </c>
      <c r="B16" s="3" t="s">
        <v>136</v>
      </c>
      <c r="C16" s="27" t="e">
        <f>AssumptionTables!$C$24*TruckCosts!C11</f>
        <v>#N/A</v>
      </c>
      <c r="D16" s="27" t="e">
        <f>AssumptionTables!$C$24*TruckCosts!D11</f>
        <v>#N/A</v>
      </c>
      <c r="E16" s="27" t="e">
        <f>AssumptionTables!$C$24*TruckCosts!E11</f>
        <v>#N/A</v>
      </c>
      <c r="F16" s="27" t="e">
        <f>AssumptionTables!$C$24*TruckCosts!F11</f>
        <v>#N/A</v>
      </c>
      <c r="G16" s="27" t="e">
        <f>AssumptionTables!$C$24*TruckCosts!G11</f>
        <v>#N/A</v>
      </c>
      <c r="H16" s="27" t="e">
        <f>AssumptionTables!$C$24*TruckCosts!H11</f>
        <v>#N/A</v>
      </c>
      <c r="I16" s="27" t="e">
        <f>AssumptionTables!$C$24*TruckCosts!I11</f>
        <v>#N/A</v>
      </c>
      <c r="L16" s="3" t="str">
        <f t="shared" si="0"/>
        <v>Truck Fees (license / insurance/maintenance)</v>
      </c>
      <c r="M16" s="3" t="str">
        <f t="shared" si="1"/>
        <v>Calc / Assumption</v>
      </c>
      <c r="N16" s="27" t="e">
        <f>AssumptionTables!$C$24*TruckCosts!N11</f>
        <v>#N/A</v>
      </c>
      <c r="O16" s="27" t="e">
        <f>AssumptionTables!$C$24*TruckCosts!O11</f>
        <v>#N/A</v>
      </c>
      <c r="P16" s="27" t="e">
        <f>AssumptionTables!$C$24*TruckCosts!P11</f>
        <v>#N/A</v>
      </c>
      <c r="Q16" s="27" t="e">
        <f>AssumptionTables!$C$24*TruckCosts!Q11</f>
        <v>#N/A</v>
      </c>
      <c r="R16" s="27" t="e">
        <f>AssumptionTables!$C$24*TruckCosts!R11</f>
        <v>#N/A</v>
      </c>
      <c r="S16" s="27" t="e">
        <f>AssumptionTables!$C$24*TruckCosts!S11</f>
        <v>#N/A</v>
      </c>
      <c r="T16" s="27" t="e">
        <f>AssumptionTables!$C$24*TruckCosts!T11</f>
        <v>#N/A</v>
      </c>
    </row>
    <row r="17" spans="1:20">
      <c r="A17" s="3" t="s">
        <v>18</v>
      </c>
      <c r="B17" s="3" t="s">
        <v>136</v>
      </c>
      <c r="C17" s="15" t="e">
        <f>AssumptionTables!$C$25*TruckCosts!C11</f>
        <v>#N/A</v>
      </c>
      <c r="D17" s="15" t="e">
        <f>AssumptionTables!$C$25*TruckCosts!D11</f>
        <v>#N/A</v>
      </c>
      <c r="E17" s="15" t="e">
        <f>AssumptionTables!$C$25*TruckCosts!E11</f>
        <v>#N/A</v>
      </c>
      <c r="F17" s="15" t="e">
        <f>AssumptionTables!$C$25*TruckCosts!F11</f>
        <v>#N/A</v>
      </c>
      <c r="G17" s="15" t="e">
        <f>AssumptionTables!$C$25*TruckCosts!G11</f>
        <v>#N/A</v>
      </c>
      <c r="H17" s="15" t="e">
        <f>AssumptionTables!$C$25*TruckCosts!H11</f>
        <v>#N/A</v>
      </c>
      <c r="I17" s="15" t="e">
        <f>AssumptionTables!$C$25*TruckCosts!I11</f>
        <v>#N/A</v>
      </c>
      <c r="L17" s="3" t="str">
        <f t="shared" si="0"/>
        <v>O&amp;M</v>
      </c>
      <c r="M17" s="3" t="str">
        <f t="shared" si="1"/>
        <v>Calc / Assumption</v>
      </c>
      <c r="N17" s="15" t="e">
        <f>AssumptionTables!$C$25*TruckCosts!N11</f>
        <v>#N/A</v>
      </c>
      <c r="O17" s="15" t="e">
        <f>AssumptionTables!$C$25*TruckCosts!O11</f>
        <v>#N/A</v>
      </c>
      <c r="P17" s="15" t="e">
        <f>AssumptionTables!$C$25*TruckCosts!P11</f>
        <v>#N/A</v>
      </c>
      <c r="Q17" s="15" t="e">
        <f>AssumptionTables!$C$25*TruckCosts!Q11</f>
        <v>#N/A</v>
      </c>
      <c r="R17" s="15" t="e">
        <f>AssumptionTables!$C$25*TruckCosts!R11</f>
        <v>#N/A</v>
      </c>
      <c r="S17" s="15" t="e">
        <f>AssumptionTables!$C$25*TruckCosts!S11</f>
        <v>#N/A</v>
      </c>
      <c r="T17" s="15" t="e">
        <f>AssumptionTables!$C$25*TruckCosts!T11</f>
        <v>#N/A</v>
      </c>
    </row>
    <row r="18" spans="1:20">
      <c r="A18" s="3" t="s">
        <v>179</v>
      </c>
      <c r="B18" s="3" t="s">
        <v>136</v>
      </c>
      <c r="C18" s="15" t="e">
        <f>(C16+C17+C23)*AssumptionTables!$C$33</f>
        <v>#N/A</v>
      </c>
      <c r="D18" s="15" t="e">
        <f>(D16+D17+D23)*AssumptionTables!$C$33</f>
        <v>#N/A</v>
      </c>
      <c r="E18" s="15" t="e">
        <f>(E16+E17+E23)*AssumptionTables!$C$33</f>
        <v>#N/A</v>
      </c>
      <c r="F18" s="15" t="e">
        <f>(F16+F17+F23)*AssumptionTables!$C$33</f>
        <v>#N/A</v>
      </c>
      <c r="G18" s="15" t="e">
        <f>(G16+G17+G23)*AssumptionTables!$C$33</f>
        <v>#N/A</v>
      </c>
      <c r="H18" s="15" t="e">
        <f>(H16+H17+H23)*AssumptionTables!$C$33</f>
        <v>#N/A</v>
      </c>
      <c r="I18" s="15" t="e">
        <f>(I16+I17+I23)*AssumptionTables!$C$33</f>
        <v>#N/A</v>
      </c>
      <c r="L18" s="3" t="str">
        <f t="shared" si="0"/>
        <v>Contingency (O&amp;M, Truck Fees)</v>
      </c>
      <c r="M18" s="3" t="str">
        <f t="shared" si="1"/>
        <v>Calc / Assumption</v>
      </c>
      <c r="N18" s="15" t="e">
        <f>(N16+N17+N23)*AssumptionTables!$C$33</f>
        <v>#N/A</v>
      </c>
      <c r="O18" s="15" t="e">
        <f>(O16+O17+O23)*AssumptionTables!$C$33</f>
        <v>#N/A</v>
      </c>
      <c r="P18" s="15" t="e">
        <f>(P16+P17+P23)*AssumptionTables!$C$33</f>
        <v>#N/A</v>
      </c>
      <c r="Q18" s="15" t="e">
        <f>(Q16+Q17+Q23)*AssumptionTables!$C$33</f>
        <v>#N/A</v>
      </c>
      <c r="R18" s="15" t="e">
        <f>(R16+R17+R23)*AssumptionTables!$C$33</f>
        <v>#N/A</v>
      </c>
      <c r="S18" s="15" t="e">
        <f>(S16+S17+S23)*AssumptionTables!$C$33</f>
        <v>#N/A</v>
      </c>
      <c r="T18" s="15" t="e">
        <f>(T16+T17+T23)*AssumptionTables!$C$33</f>
        <v>#N/A</v>
      </c>
    </row>
    <row r="19" spans="1:20">
      <c r="A19" s="3" t="s">
        <v>190</v>
      </c>
      <c r="B19" s="3" t="s">
        <v>185</v>
      </c>
      <c r="C19" s="14" t="e">
        <f>StaffingCosts!C6</f>
        <v>#N/A</v>
      </c>
      <c r="D19" s="14" t="e">
        <f>StaffingCosts!D6</f>
        <v>#N/A</v>
      </c>
      <c r="E19" s="14" t="e">
        <f>StaffingCosts!E6</f>
        <v>#N/A</v>
      </c>
      <c r="F19" s="14" t="e">
        <f>StaffingCosts!F6</f>
        <v>#N/A</v>
      </c>
      <c r="G19" s="14" t="e">
        <f>StaffingCosts!G6</f>
        <v>#N/A</v>
      </c>
      <c r="H19" s="14" t="e">
        <f>StaffingCosts!H6</f>
        <v>#N/A</v>
      </c>
      <c r="I19" s="14" t="e">
        <f>StaffingCosts!I6</f>
        <v>#N/A</v>
      </c>
      <c r="L19" s="3" t="str">
        <f t="shared" si="0"/>
        <v>Number of Pickup Trucks - Supervisor</v>
      </c>
      <c r="M19" s="3" t="str">
        <f t="shared" si="1"/>
        <v>Staffing Costs</v>
      </c>
      <c r="N19" s="14" t="e">
        <f>StaffingCosts!C6</f>
        <v>#N/A</v>
      </c>
      <c r="O19" s="14" t="e">
        <f>StaffingCosts!D6</f>
        <v>#N/A</v>
      </c>
      <c r="P19" s="14" t="e">
        <f>StaffingCosts!E6</f>
        <v>#N/A</v>
      </c>
      <c r="Q19" s="14" t="e">
        <f>StaffingCosts!F6</f>
        <v>#N/A</v>
      </c>
      <c r="R19" s="14" t="e">
        <f>StaffingCosts!G6</f>
        <v>#N/A</v>
      </c>
      <c r="S19" s="14" t="e">
        <f>StaffingCosts!H6</f>
        <v>#N/A</v>
      </c>
      <c r="T19" s="14" t="e">
        <f>StaffingCosts!I6</f>
        <v>#N/A</v>
      </c>
    </row>
    <row r="20" spans="1:20">
      <c r="A20" s="3" t="s">
        <v>189</v>
      </c>
      <c r="B20" s="3" t="s">
        <v>11</v>
      </c>
      <c r="C20" s="22" t="e">
        <f>C19*AssumptionTables!$C$29</f>
        <v>#N/A</v>
      </c>
      <c r="D20" s="22" t="e">
        <f>D19*AssumptionTables!$C$29</f>
        <v>#N/A</v>
      </c>
      <c r="E20" s="22" t="e">
        <f>E19*AssumptionTables!$C$29</f>
        <v>#N/A</v>
      </c>
      <c r="F20" s="22" t="e">
        <f>F19*AssumptionTables!$C$29</f>
        <v>#N/A</v>
      </c>
      <c r="G20" s="22" t="e">
        <f>G19*AssumptionTables!$C$29</f>
        <v>#N/A</v>
      </c>
      <c r="H20" s="22" t="e">
        <f>H19*AssumptionTables!$C$29</f>
        <v>#N/A</v>
      </c>
      <c r="I20" s="22" t="e">
        <f>I19*AssumptionTables!$C$29</f>
        <v>#N/A</v>
      </c>
      <c r="L20" s="3" t="str">
        <f t="shared" si="0"/>
        <v>Total initial capital Pickup Trucks</v>
      </c>
      <c r="M20" s="3" t="str">
        <f t="shared" si="1"/>
        <v>Calc</v>
      </c>
      <c r="N20" s="22" t="e">
        <f>N19*AssumptionTables!$C$29</f>
        <v>#N/A</v>
      </c>
      <c r="O20" s="22" t="e">
        <f>O19*AssumptionTables!$C$29</f>
        <v>#N/A</v>
      </c>
      <c r="P20" s="22" t="e">
        <f>P19*AssumptionTables!$C$29</f>
        <v>#N/A</v>
      </c>
      <c r="Q20" s="22" t="e">
        <f>Q19*AssumptionTables!$C$29</f>
        <v>#N/A</v>
      </c>
      <c r="R20" s="22" t="e">
        <f>R19*AssumptionTables!$C$29</f>
        <v>#N/A</v>
      </c>
      <c r="S20" s="22" t="e">
        <f>S19*AssumptionTables!$C$29</f>
        <v>#N/A</v>
      </c>
      <c r="T20" s="22" t="e">
        <f>T19*AssumptionTables!$C$29</f>
        <v>#N/A</v>
      </c>
    </row>
    <row r="21" spans="1:20">
      <c r="A21" s="3" t="s">
        <v>188</v>
      </c>
      <c r="B21" s="3" t="s">
        <v>11</v>
      </c>
      <c r="C21" s="22" t="e">
        <f>-PMT(AssumptionTables!$C$18,AssumptionTables!$C$17,C20)</f>
        <v>#N/A</v>
      </c>
      <c r="D21" s="22" t="e">
        <f>-PMT(AssumptionTables!$C$18,AssumptionTables!$C$17,D20)</f>
        <v>#N/A</v>
      </c>
      <c r="E21" s="22" t="e">
        <f>-PMT(AssumptionTables!$C$18,AssumptionTables!$C$17,E20)</f>
        <v>#N/A</v>
      </c>
      <c r="F21" s="22" t="e">
        <f>-PMT(AssumptionTables!$C$18,AssumptionTables!$C$17,F20)</f>
        <v>#N/A</v>
      </c>
      <c r="G21" s="22" t="e">
        <f>-PMT(AssumptionTables!$C$18,AssumptionTables!$C$17,G20)</f>
        <v>#N/A</v>
      </c>
      <c r="H21" s="22" t="e">
        <f>-PMT(AssumptionTables!$C$18,AssumptionTables!$C$17,H20)</f>
        <v>#N/A</v>
      </c>
      <c r="I21" s="22" t="e">
        <f>-PMT(AssumptionTables!$C$18,AssumptionTables!$C$17,I20)</f>
        <v>#N/A</v>
      </c>
      <c r="L21" s="3" t="str">
        <f t="shared" si="0"/>
        <v>Pickup Annual loan payment</v>
      </c>
      <c r="M21" s="3" t="str">
        <f t="shared" si="1"/>
        <v>Calc</v>
      </c>
      <c r="N21" s="22" t="e">
        <f>-PMT(AssumptionTables!$C$18,AssumptionTables!$C$17,N20)</f>
        <v>#N/A</v>
      </c>
      <c r="O21" s="22" t="e">
        <f>-PMT(AssumptionTables!$C$18,AssumptionTables!$C$17,O20)</f>
        <v>#N/A</v>
      </c>
      <c r="P21" s="22" t="e">
        <f>-PMT(AssumptionTables!$C$18,AssumptionTables!$C$17,P20)</f>
        <v>#N/A</v>
      </c>
      <c r="Q21" s="22" t="e">
        <f>-PMT(AssumptionTables!$C$18,AssumptionTables!$C$17,Q20)</f>
        <v>#N/A</v>
      </c>
      <c r="R21" s="22" t="e">
        <f>-PMT(AssumptionTables!$C$18,AssumptionTables!$C$17,R20)</f>
        <v>#N/A</v>
      </c>
      <c r="S21" s="22" t="e">
        <f>-PMT(AssumptionTables!$C$18,AssumptionTables!$C$17,S20)</f>
        <v>#N/A</v>
      </c>
      <c r="T21" s="22" t="e">
        <f>-PMT(AssumptionTables!$C$18,AssumptionTables!$C$17,T20)</f>
        <v>#N/A</v>
      </c>
    </row>
    <row r="22" spans="1:20">
      <c r="A22" s="3" t="s">
        <v>187</v>
      </c>
      <c r="B22" s="3" t="s">
        <v>11</v>
      </c>
      <c r="C22" s="22" t="e">
        <f>C21*AssumptionTables!$C$17</f>
        <v>#N/A</v>
      </c>
      <c r="D22" s="22" t="e">
        <f>D21*AssumptionTables!$C$17</f>
        <v>#N/A</v>
      </c>
      <c r="E22" s="22" t="e">
        <f>E21*AssumptionTables!$C$17</f>
        <v>#N/A</v>
      </c>
      <c r="F22" s="22" t="e">
        <f>F21*AssumptionTables!$C$17</f>
        <v>#N/A</v>
      </c>
      <c r="G22" s="22" t="e">
        <f>G21*AssumptionTables!$C$17</f>
        <v>#N/A</v>
      </c>
      <c r="H22" s="22" t="e">
        <f>H21*AssumptionTables!$C$17</f>
        <v>#N/A</v>
      </c>
      <c r="I22" s="22" t="e">
        <f>I21*AssumptionTables!$C$17</f>
        <v>#N/A</v>
      </c>
      <c r="L22" s="3" t="str">
        <f t="shared" si="0"/>
        <v>Pick up Total Capital including interest</v>
      </c>
      <c r="M22" s="3" t="str">
        <f t="shared" si="1"/>
        <v>Calc</v>
      </c>
      <c r="N22" s="22" t="e">
        <f>N21*AssumptionTables!$C$17</f>
        <v>#N/A</v>
      </c>
      <c r="O22" s="22" t="e">
        <f>O21*AssumptionTables!$C$17</f>
        <v>#N/A</v>
      </c>
      <c r="P22" s="22" t="e">
        <f>P21*AssumptionTables!$C$17</f>
        <v>#N/A</v>
      </c>
      <c r="Q22" s="22" t="e">
        <f>Q21*AssumptionTables!$C$17</f>
        <v>#N/A</v>
      </c>
      <c r="R22" s="22" t="e">
        <f>R21*AssumptionTables!$C$17</f>
        <v>#N/A</v>
      </c>
      <c r="S22" s="22" t="e">
        <f>S21*AssumptionTables!$C$17</f>
        <v>#N/A</v>
      </c>
      <c r="T22" s="22" t="e">
        <f>T21*AssumptionTables!$C$17</f>
        <v>#N/A</v>
      </c>
    </row>
    <row r="23" spans="1:20">
      <c r="A23" s="3" t="s">
        <v>186</v>
      </c>
      <c r="B23" s="3" t="s">
        <v>11</v>
      </c>
      <c r="C23" s="22" t="e">
        <f>C19*AssumptionTables!$C$31</f>
        <v>#N/A</v>
      </c>
      <c r="D23" s="22" t="e">
        <f>D19*AssumptionTables!$C$31</f>
        <v>#N/A</v>
      </c>
      <c r="E23" s="22" t="e">
        <f>E19*AssumptionTables!$C$31</f>
        <v>#N/A</v>
      </c>
      <c r="F23" s="22" t="e">
        <f>F19*AssumptionTables!$C$31</f>
        <v>#N/A</v>
      </c>
      <c r="G23" s="22" t="e">
        <f>G19*AssumptionTables!$C$31</f>
        <v>#N/A</v>
      </c>
      <c r="H23" s="22" t="e">
        <f>H19*AssumptionTables!$C$31</f>
        <v>#N/A</v>
      </c>
      <c r="I23" s="22" t="e">
        <f>I19*AssumptionTables!$C$31</f>
        <v>#N/A</v>
      </c>
      <c r="L23" s="3" t="str">
        <f t="shared" si="0"/>
        <v>Pickup Truck Operating Costs</v>
      </c>
      <c r="M23" s="3" t="str">
        <f t="shared" si="1"/>
        <v>Calc</v>
      </c>
      <c r="N23" s="22" t="e">
        <f>N19*AssumptionTables!$C$31</f>
        <v>#N/A</v>
      </c>
      <c r="O23" s="22" t="e">
        <f>O19*AssumptionTables!$C$31</f>
        <v>#N/A</v>
      </c>
      <c r="P23" s="22" t="e">
        <f>P19*AssumptionTables!$C$31</f>
        <v>#N/A</v>
      </c>
      <c r="Q23" s="22" t="e">
        <f>Q19*AssumptionTables!$C$31</f>
        <v>#N/A</v>
      </c>
      <c r="R23" s="22" t="e">
        <f>R19*AssumptionTables!$C$31</f>
        <v>#N/A</v>
      </c>
      <c r="S23" s="22" t="e">
        <f>S19*AssumptionTables!$C$31</f>
        <v>#N/A</v>
      </c>
      <c r="T23" s="22" t="e">
        <f>T19*AssumptionTables!$C$31</f>
        <v>#N/A</v>
      </c>
    </row>
    <row r="24" spans="1:20">
      <c r="A24" s="3" t="s">
        <v>497</v>
      </c>
      <c r="B24" s="3" t="s">
        <v>185</v>
      </c>
      <c r="C24" s="14" t="s">
        <v>493</v>
      </c>
      <c r="D24" s="14" t="e">
        <f>IF(StaffingCosts!D8&lt;1,0, IF(StaffingCosts!D8&lt;3,1, IF(StaffingCosts!D8&lt;6,2)))</f>
        <v>#N/A</v>
      </c>
      <c r="E24" s="14" t="e">
        <f>IF(StaffingCosts!E8&lt;1,0, IF(StaffingCosts!E8&lt;3,1, IF(StaffingCosts!E8&lt;6,2)))</f>
        <v>#N/A</v>
      </c>
      <c r="F24" s="14" t="e">
        <f>IF(StaffingCosts!F8&lt;1,0, IF(StaffingCosts!F8&lt;3,1, IF(StaffingCosts!F8&lt;6,2)))</f>
        <v>#N/A</v>
      </c>
      <c r="G24" s="14" t="e">
        <f>IF(StaffingCosts!G8&lt;1,0, IF(StaffingCosts!G8&lt;3,1, IF(StaffingCosts!G8&lt;6,2)))</f>
        <v>#N/A</v>
      </c>
      <c r="H24" s="14" t="e">
        <f>IF(StaffingCosts!H8&lt;1,0, IF(StaffingCosts!H8&lt;3,1, IF(StaffingCosts!H8&lt;6,2)))</f>
        <v>#N/A</v>
      </c>
      <c r="I24" s="14" t="e">
        <f>IF(StaffingCosts!I8&lt;1,0, IF(StaffingCosts!I8&lt;3,1, IF(StaffingCosts!I8&lt;6,2)))</f>
        <v>#N/A</v>
      </c>
      <c r="L24" s="3" t="str">
        <f t="shared" si="0"/>
        <v xml:space="preserve">Number of Cart Delivery Trucks </v>
      </c>
      <c r="M24" s="3" t="str">
        <f t="shared" si="1"/>
        <v>Staffing Costs</v>
      </c>
      <c r="N24" s="14" t="s">
        <v>493</v>
      </c>
      <c r="O24" s="14" t="e">
        <f>IF(StaffingCosts!D8&lt;1,0, IF(StaffingCosts!D8&lt;3,1, IF(StaffingCosts!D8&lt;6,2)))</f>
        <v>#N/A</v>
      </c>
      <c r="P24" s="14" t="e">
        <f>IF(StaffingCosts!E8&lt;1,0, IF(StaffingCosts!E8&lt;3,1, IF(StaffingCosts!E8&lt;6,2)))</f>
        <v>#N/A</v>
      </c>
      <c r="Q24" s="14" t="e">
        <f>IF(StaffingCosts!F8&lt;1,0, IF(StaffingCosts!F8&lt;3,1, IF(StaffingCosts!F8&lt;6,2)))</f>
        <v>#N/A</v>
      </c>
      <c r="R24" s="14" t="e">
        <f>IF(StaffingCosts!G8&lt;1,0, IF(StaffingCosts!G8&lt;3,1, IF(StaffingCosts!G8&lt;6,2)))</f>
        <v>#N/A</v>
      </c>
      <c r="S24" s="14" t="e">
        <f>IF(StaffingCosts!H8&lt;1,0, IF(StaffingCosts!H8&lt;3,1, IF(StaffingCosts!H8&lt;6,2)))</f>
        <v>#N/A</v>
      </c>
      <c r="T24" s="14" t="e">
        <f>IF(StaffingCosts!I8&lt;1,0, IF(StaffingCosts!I8&lt;3,1, IF(StaffingCosts!I8&lt;6,2)))</f>
        <v>#N/A</v>
      </c>
    </row>
    <row r="25" spans="1:20">
      <c r="A25" s="3" t="s">
        <v>506</v>
      </c>
      <c r="B25" s="3" t="s">
        <v>11</v>
      </c>
      <c r="C25" s="14" t="s">
        <v>493</v>
      </c>
      <c r="D25" s="22" t="e">
        <f>D24*AssumptionTables!$C$30</f>
        <v>#N/A</v>
      </c>
      <c r="E25" s="22" t="e">
        <f>E24*AssumptionTables!$C$30</f>
        <v>#N/A</v>
      </c>
      <c r="F25" s="22" t="e">
        <f>F24*AssumptionTables!$C$30</f>
        <v>#N/A</v>
      </c>
      <c r="G25" s="22" t="e">
        <f>G24*AssumptionTables!$C$30</f>
        <v>#N/A</v>
      </c>
      <c r="H25" s="22" t="e">
        <f>H24*AssumptionTables!$C$30</f>
        <v>#N/A</v>
      </c>
      <c r="I25" s="22" t="e">
        <f>I24*AssumptionTables!$C$30</f>
        <v>#N/A</v>
      </c>
      <c r="L25" s="3" t="str">
        <f t="shared" si="0"/>
        <v>Total initial capital Flatbed Trucks</v>
      </c>
      <c r="M25" s="3" t="str">
        <f t="shared" si="1"/>
        <v>Calc</v>
      </c>
      <c r="N25" s="14" t="s">
        <v>493</v>
      </c>
      <c r="O25" s="22" t="e">
        <f>O24*AssumptionTables!$C$30</f>
        <v>#N/A</v>
      </c>
      <c r="P25" s="22" t="e">
        <f>P24*AssumptionTables!$C$30</f>
        <v>#N/A</v>
      </c>
      <c r="Q25" s="22" t="e">
        <f>Q24*AssumptionTables!$C$30</f>
        <v>#N/A</v>
      </c>
      <c r="R25" s="22" t="e">
        <f>R24*AssumptionTables!$C$30</f>
        <v>#N/A</v>
      </c>
      <c r="S25" s="22" t="e">
        <f>S24*AssumptionTables!$C$30</f>
        <v>#N/A</v>
      </c>
      <c r="T25" s="22" t="e">
        <f>T24*AssumptionTables!$C$30</f>
        <v>#N/A</v>
      </c>
    </row>
    <row r="26" spans="1:20">
      <c r="A26" s="3" t="s">
        <v>503</v>
      </c>
      <c r="B26" s="3" t="s">
        <v>11</v>
      </c>
      <c r="C26" s="14" t="s">
        <v>493</v>
      </c>
      <c r="D26" s="22" t="e">
        <f>-PMT(AssumptionTables!$C$18,AssumptionTables!$C$17,D25)</f>
        <v>#N/A</v>
      </c>
      <c r="E26" s="22" t="e">
        <f>-PMT(AssumptionTables!$C$18,AssumptionTables!$C$17,E25)</f>
        <v>#N/A</v>
      </c>
      <c r="F26" s="22" t="e">
        <f>-PMT(AssumptionTables!$C$18,AssumptionTables!$C$17,F25)</f>
        <v>#N/A</v>
      </c>
      <c r="G26" s="22" t="e">
        <f>-PMT(AssumptionTables!$C$18,AssumptionTables!$C$17,G25)</f>
        <v>#N/A</v>
      </c>
      <c r="H26" s="22" t="e">
        <f>-PMT(AssumptionTables!$C$18,AssumptionTables!$C$17,H25)</f>
        <v>#N/A</v>
      </c>
      <c r="I26" s="22" t="e">
        <f>-PMT(AssumptionTables!$C$18,AssumptionTables!$C$17,I25)</f>
        <v>#N/A</v>
      </c>
      <c r="L26" s="3" t="str">
        <f t="shared" si="0"/>
        <v>Flatbed Annual loan payment</v>
      </c>
      <c r="M26" s="3" t="str">
        <f t="shared" si="1"/>
        <v>Calc</v>
      </c>
      <c r="N26" s="14" t="s">
        <v>493</v>
      </c>
      <c r="O26" s="22" t="e">
        <f>-PMT(AssumptionTables!$C$18,AssumptionTables!$C$17,O25)</f>
        <v>#N/A</v>
      </c>
      <c r="P26" s="22" t="e">
        <f>-PMT(AssumptionTables!$C$18,AssumptionTables!$C$17,P25)</f>
        <v>#N/A</v>
      </c>
      <c r="Q26" s="22" t="e">
        <f>-PMT(AssumptionTables!$C$18,AssumptionTables!$C$17,Q25)</f>
        <v>#N/A</v>
      </c>
      <c r="R26" s="22" t="e">
        <f>-PMT(AssumptionTables!$C$18,AssumptionTables!$C$17,R25)</f>
        <v>#N/A</v>
      </c>
      <c r="S26" s="22" t="e">
        <f>-PMT(AssumptionTables!$C$18,AssumptionTables!$C$17,S25)</f>
        <v>#N/A</v>
      </c>
      <c r="T26" s="22" t="e">
        <f>-PMT(AssumptionTables!$C$18,AssumptionTables!$C$17,T25)</f>
        <v>#N/A</v>
      </c>
    </row>
    <row r="27" spans="1:20">
      <c r="A27" s="3" t="s">
        <v>504</v>
      </c>
      <c r="B27" s="3" t="s">
        <v>11</v>
      </c>
      <c r="C27" s="14" t="s">
        <v>493</v>
      </c>
      <c r="D27" s="22" t="e">
        <f>D26*AssumptionTables!$C$17</f>
        <v>#N/A</v>
      </c>
      <c r="E27" s="22" t="e">
        <f>E26*AssumptionTables!$C$17</f>
        <v>#N/A</v>
      </c>
      <c r="F27" s="22" t="e">
        <f>F26*AssumptionTables!$C$17</f>
        <v>#N/A</v>
      </c>
      <c r="G27" s="22" t="e">
        <f>G26*AssumptionTables!$C$17</f>
        <v>#N/A</v>
      </c>
      <c r="H27" s="22" t="e">
        <f>H26*AssumptionTables!$C$17</f>
        <v>#N/A</v>
      </c>
      <c r="I27" s="22" t="e">
        <f>I26*AssumptionTables!$C$17</f>
        <v>#N/A</v>
      </c>
      <c r="L27" s="3" t="str">
        <f t="shared" si="0"/>
        <v>Flatbed Total Capital including interest</v>
      </c>
      <c r="M27" s="3" t="str">
        <f t="shared" si="1"/>
        <v>Calc</v>
      </c>
      <c r="N27" s="14" t="s">
        <v>493</v>
      </c>
      <c r="O27" s="22" t="e">
        <f>O26*AssumptionTables!$C$17</f>
        <v>#N/A</v>
      </c>
      <c r="P27" s="22" t="e">
        <f>P26*AssumptionTables!$C$17</f>
        <v>#N/A</v>
      </c>
      <c r="Q27" s="22" t="e">
        <f>Q26*AssumptionTables!$C$17</f>
        <v>#N/A</v>
      </c>
      <c r="R27" s="22" t="e">
        <f>R26*AssumptionTables!$C$17</f>
        <v>#N/A</v>
      </c>
      <c r="S27" s="22" t="e">
        <f>S26*AssumptionTables!$C$17</f>
        <v>#N/A</v>
      </c>
      <c r="T27" s="22" t="e">
        <f>T26*AssumptionTables!$C$17</f>
        <v>#N/A</v>
      </c>
    </row>
    <row r="28" spans="1:20">
      <c r="A28" s="3" t="s">
        <v>505</v>
      </c>
      <c r="B28" s="3" t="s">
        <v>11</v>
      </c>
      <c r="C28" s="14" t="s">
        <v>493</v>
      </c>
      <c r="D28" s="22" t="e">
        <f>D24*AssumptionTables!$C$32</f>
        <v>#N/A</v>
      </c>
      <c r="E28" s="22" t="e">
        <f>E24*AssumptionTables!$C$32</f>
        <v>#N/A</v>
      </c>
      <c r="F28" s="22" t="e">
        <f>F24*AssumptionTables!$C$32</f>
        <v>#N/A</v>
      </c>
      <c r="G28" s="22" t="e">
        <f>G24*AssumptionTables!$C$32</f>
        <v>#N/A</v>
      </c>
      <c r="H28" s="22" t="e">
        <f>H24*AssumptionTables!$C$32</f>
        <v>#N/A</v>
      </c>
      <c r="I28" s="22" t="e">
        <f>I24*AssumptionTables!$C$32</f>
        <v>#N/A</v>
      </c>
      <c r="L28" s="3" t="str">
        <f t="shared" si="0"/>
        <v>Flatbed Truck Operating Costs</v>
      </c>
      <c r="M28" s="3" t="str">
        <f t="shared" si="1"/>
        <v>Calc</v>
      </c>
      <c r="N28" s="14" t="s">
        <v>493</v>
      </c>
      <c r="O28" s="22" t="e">
        <f>O24*AssumptionTables!$C$32</f>
        <v>#N/A</v>
      </c>
      <c r="P28" s="22" t="e">
        <f>P24*AssumptionTables!$C$32</f>
        <v>#N/A</v>
      </c>
      <c r="Q28" s="22" t="e">
        <f>Q24*AssumptionTables!$C$32</f>
        <v>#N/A</v>
      </c>
      <c r="R28" s="22" t="e">
        <f>R24*AssumptionTables!$C$32</f>
        <v>#N/A</v>
      </c>
      <c r="S28" s="22" t="e">
        <f>S24*AssumptionTables!$C$32</f>
        <v>#N/A</v>
      </c>
      <c r="T28" s="22" t="e">
        <f>T24*AssumptionTables!$C$32</f>
        <v>#N/A</v>
      </c>
    </row>
    <row r="29" spans="1:20">
      <c r="L29" s="1">
        <f t="shared" si="0"/>
        <v>0</v>
      </c>
      <c r="M29" s="1">
        <f t="shared" si="1"/>
        <v>0</v>
      </c>
    </row>
    <row r="30" spans="1:20">
      <c r="A30" s="2" t="s">
        <v>14</v>
      </c>
      <c r="L30" s="2"/>
      <c r="M30" s="1">
        <f t="shared" si="1"/>
        <v>0</v>
      </c>
    </row>
    <row r="31" spans="1:20">
      <c r="A31" s="3" t="s">
        <v>475</v>
      </c>
      <c r="B31" s="3"/>
      <c r="C31" s="21" t="e">
        <f>C19+C11</f>
        <v>#N/A</v>
      </c>
      <c r="D31" s="21" t="e">
        <f>D19+D11</f>
        <v>#N/A</v>
      </c>
      <c r="E31" s="21" t="e">
        <f t="shared" ref="E31:I31" si="17">E19+E11</f>
        <v>#N/A</v>
      </c>
      <c r="F31" s="21" t="e">
        <f t="shared" si="17"/>
        <v>#N/A</v>
      </c>
      <c r="G31" s="21" t="e">
        <f t="shared" si="17"/>
        <v>#N/A</v>
      </c>
      <c r="H31" s="21" t="e">
        <f t="shared" si="17"/>
        <v>#N/A</v>
      </c>
      <c r="I31" s="21" t="e">
        <f t="shared" si="17"/>
        <v>#N/A</v>
      </c>
      <c r="L31" s="3" t="str">
        <f t="shared" si="0"/>
        <v>Total No. of Vehicles (incl. back-up and support)</v>
      </c>
      <c r="M31" s="3">
        <f t="shared" si="1"/>
        <v>0</v>
      </c>
      <c r="N31" s="21" t="e">
        <f>N19+N11</f>
        <v>#N/A</v>
      </c>
      <c r="O31" s="21" t="e">
        <f>O19+O11</f>
        <v>#N/A</v>
      </c>
      <c r="P31" s="21" t="e">
        <f t="shared" ref="P31:T31" si="18">P19+P11</f>
        <v>#N/A</v>
      </c>
      <c r="Q31" s="21" t="e">
        <f t="shared" si="18"/>
        <v>#N/A</v>
      </c>
      <c r="R31" s="21" t="e">
        <f t="shared" si="18"/>
        <v>#N/A</v>
      </c>
      <c r="S31" s="21" t="e">
        <f t="shared" si="18"/>
        <v>#N/A</v>
      </c>
      <c r="T31" s="21" t="e">
        <f t="shared" si="18"/>
        <v>#N/A</v>
      </c>
    </row>
    <row r="32" spans="1:20">
      <c r="A32" s="3" t="s">
        <v>122</v>
      </c>
      <c r="B32" s="3" t="s">
        <v>11</v>
      </c>
      <c r="C32" s="22" t="e">
        <f>C15+C16+C17+C18+C22+C23</f>
        <v>#N/A</v>
      </c>
      <c r="D32" s="22" t="e">
        <f>D15+D16+D17+D18+D22+D23+D27+D28</f>
        <v>#N/A</v>
      </c>
      <c r="E32" s="22" t="e">
        <f t="shared" ref="E32:I32" si="19">E15+E16+E17+E18+E22+E23+E27+E28</f>
        <v>#N/A</v>
      </c>
      <c r="F32" s="22" t="e">
        <f t="shared" si="19"/>
        <v>#N/A</v>
      </c>
      <c r="G32" s="22" t="e">
        <f t="shared" si="19"/>
        <v>#N/A</v>
      </c>
      <c r="H32" s="22" t="e">
        <f t="shared" si="19"/>
        <v>#N/A</v>
      </c>
      <c r="I32" s="22" t="e">
        <f t="shared" si="19"/>
        <v>#N/A</v>
      </c>
      <c r="L32" s="3" t="str">
        <f t="shared" si="0"/>
        <v>Total Cost</v>
      </c>
      <c r="M32" s="3" t="str">
        <f t="shared" si="1"/>
        <v>Calc</v>
      </c>
      <c r="N32" s="22" t="e">
        <f>N15+N16+N17+N18+N22+N23</f>
        <v>#N/A</v>
      </c>
      <c r="O32" s="22" t="e">
        <f>O15+O16+O17+O18+O22+O23+O27+O28</f>
        <v>#N/A</v>
      </c>
      <c r="P32" s="22" t="e">
        <f t="shared" ref="P32:T32" si="20">P15+P16+P17+P18+P22+P23+P27+P28</f>
        <v>#N/A</v>
      </c>
      <c r="Q32" s="22" t="e">
        <f t="shared" si="20"/>
        <v>#N/A</v>
      </c>
      <c r="R32" s="22" t="e">
        <f t="shared" si="20"/>
        <v>#N/A</v>
      </c>
      <c r="S32" s="22" t="e">
        <f t="shared" si="20"/>
        <v>#N/A</v>
      </c>
      <c r="T32" s="22" t="e">
        <f t="shared" si="20"/>
        <v>#N/A</v>
      </c>
    </row>
    <row r="33" spans="1:20">
      <c r="A33" s="3" t="s">
        <v>408</v>
      </c>
      <c r="B33" s="3" t="s">
        <v>11</v>
      </c>
      <c r="C33" s="22" t="e">
        <f>C15+C22</f>
        <v>#N/A</v>
      </c>
      <c r="D33" s="22" t="e">
        <f>D15+D22+D27</f>
        <v>#N/A</v>
      </c>
      <c r="E33" s="22" t="e">
        <f t="shared" ref="E33:I33" si="21">E15+E22+E27</f>
        <v>#N/A</v>
      </c>
      <c r="F33" s="22" t="e">
        <f t="shared" si="21"/>
        <v>#N/A</v>
      </c>
      <c r="G33" s="22" t="e">
        <f t="shared" si="21"/>
        <v>#N/A</v>
      </c>
      <c r="H33" s="22" t="e">
        <f t="shared" si="21"/>
        <v>#N/A</v>
      </c>
      <c r="I33" s="22" t="e">
        <f t="shared" si="21"/>
        <v>#N/A</v>
      </c>
      <c r="L33" s="3" t="str">
        <f t="shared" si="0"/>
        <v>Total Capital Cost</v>
      </c>
      <c r="M33" s="3" t="str">
        <f t="shared" si="1"/>
        <v>Calc</v>
      </c>
      <c r="N33" s="22" t="e">
        <f>N15+N22</f>
        <v>#N/A</v>
      </c>
      <c r="O33" s="22" t="e">
        <f>O15+O22+O27</f>
        <v>#N/A</v>
      </c>
      <c r="P33" s="22" t="e">
        <f t="shared" ref="P33:T33" si="22">P15+P22+P27</f>
        <v>#N/A</v>
      </c>
      <c r="Q33" s="22" t="e">
        <f t="shared" si="22"/>
        <v>#N/A</v>
      </c>
      <c r="R33" s="22" t="e">
        <f t="shared" si="22"/>
        <v>#N/A</v>
      </c>
      <c r="S33" s="22" t="e">
        <f t="shared" si="22"/>
        <v>#N/A</v>
      </c>
      <c r="T33" s="22" t="e">
        <f t="shared" si="22"/>
        <v>#N/A</v>
      </c>
    </row>
    <row r="34" spans="1:20">
      <c r="A34" s="3" t="s">
        <v>521</v>
      </c>
      <c r="B34" s="3" t="s">
        <v>11</v>
      </c>
      <c r="C34" s="22" t="e">
        <f>C16+C17+C18+C23</f>
        <v>#N/A</v>
      </c>
      <c r="D34" s="22" t="e">
        <f>D16+D17+D18+D23+D28</f>
        <v>#N/A</v>
      </c>
      <c r="E34" s="22" t="e">
        <f t="shared" ref="E34:I34" si="23">E16+E17+E18+E23+E28</f>
        <v>#N/A</v>
      </c>
      <c r="F34" s="22" t="e">
        <f t="shared" si="23"/>
        <v>#N/A</v>
      </c>
      <c r="G34" s="22" t="e">
        <f t="shared" si="23"/>
        <v>#N/A</v>
      </c>
      <c r="H34" s="22" t="e">
        <f t="shared" si="23"/>
        <v>#N/A</v>
      </c>
      <c r="I34" s="22" t="e">
        <f t="shared" si="23"/>
        <v>#N/A</v>
      </c>
      <c r="L34" s="3" t="str">
        <f t="shared" si="0"/>
        <v>Total Operations &amp; Maintenance Cost / Year</v>
      </c>
      <c r="M34" s="3" t="str">
        <f t="shared" si="1"/>
        <v>Calc</v>
      </c>
      <c r="N34" s="22" t="e">
        <f>N16+N17+N18+N23</f>
        <v>#N/A</v>
      </c>
      <c r="O34" s="22" t="e">
        <f>O16+O17+O18+O23+O28</f>
        <v>#N/A</v>
      </c>
      <c r="P34" s="22" t="e">
        <f t="shared" ref="P34:T34" si="24">P16+P17+P18+P23+P28</f>
        <v>#N/A</v>
      </c>
      <c r="Q34" s="22" t="e">
        <f t="shared" si="24"/>
        <v>#N/A</v>
      </c>
      <c r="R34" s="22" t="e">
        <f t="shared" si="24"/>
        <v>#N/A</v>
      </c>
      <c r="S34" s="22" t="e">
        <f t="shared" si="24"/>
        <v>#N/A</v>
      </c>
      <c r="T34" s="22" t="e">
        <f t="shared" si="24"/>
        <v>#N/A</v>
      </c>
    </row>
    <row r="35" spans="1:20">
      <c r="A35" s="3" t="s">
        <v>473</v>
      </c>
      <c r="B35" s="3" t="s">
        <v>11</v>
      </c>
      <c r="C35" s="22" t="e">
        <f>C32/AssumptionTables!$C$17</f>
        <v>#N/A</v>
      </c>
      <c r="D35" s="22" t="e">
        <f>D32/AssumptionTables!$C$17</f>
        <v>#N/A</v>
      </c>
      <c r="E35" s="22" t="e">
        <f>E32/AssumptionTables!$C$17</f>
        <v>#N/A</v>
      </c>
      <c r="F35" s="22" t="e">
        <f>F32/AssumptionTables!$C$17</f>
        <v>#N/A</v>
      </c>
      <c r="G35" s="22" t="e">
        <f>G32/AssumptionTables!$C$17</f>
        <v>#N/A</v>
      </c>
      <c r="H35" s="22" t="e">
        <f>H32/AssumptionTables!$C$17</f>
        <v>#N/A</v>
      </c>
      <c r="I35" s="22" t="e">
        <f>I32/AssumptionTables!$C$17</f>
        <v>#N/A</v>
      </c>
      <c r="L35" s="3" t="str">
        <f t="shared" si="0"/>
        <v>Total Cost per Year</v>
      </c>
      <c r="M35" s="3" t="str">
        <f t="shared" si="1"/>
        <v>Calc</v>
      </c>
      <c r="N35" s="22" t="e">
        <f>N32/AssumptionTables!$C$17</f>
        <v>#N/A</v>
      </c>
      <c r="O35" s="22" t="e">
        <f>O32/AssumptionTables!$C$17</f>
        <v>#N/A</v>
      </c>
      <c r="P35" s="22" t="e">
        <f>P32/AssumptionTables!$C$17</f>
        <v>#N/A</v>
      </c>
      <c r="Q35" s="22" t="e">
        <f>Q32/AssumptionTables!$C$17</f>
        <v>#N/A</v>
      </c>
      <c r="R35" s="22" t="e">
        <f>R32/AssumptionTables!$C$17</f>
        <v>#N/A</v>
      </c>
      <c r="S35" s="22" t="e">
        <f>S32/AssumptionTables!$C$17</f>
        <v>#N/A</v>
      </c>
      <c r="T35" s="22" t="e">
        <f>T32/AssumptionTables!$C$17</f>
        <v>#N/A</v>
      </c>
    </row>
    <row r="36" spans="1:20">
      <c r="A36" s="11" t="s">
        <v>474</v>
      </c>
      <c r="B36" s="3" t="s">
        <v>11</v>
      </c>
      <c r="C36" s="62" t="e">
        <f>C34</f>
        <v>#N/A</v>
      </c>
      <c r="D36" s="62" t="e">
        <f>D34</f>
        <v>#N/A</v>
      </c>
      <c r="E36" s="62" t="e">
        <f t="shared" ref="E36:I36" si="25">E34</f>
        <v>#N/A</v>
      </c>
      <c r="F36" s="62" t="e">
        <f t="shared" si="25"/>
        <v>#N/A</v>
      </c>
      <c r="G36" s="62" t="e">
        <f t="shared" si="25"/>
        <v>#N/A</v>
      </c>
      <c r="H36" s="62" t="e">
        <f t="shared" si="25"/>
        <v>#N/A</v>
      </c>
      <c r="I36" s="62" t="e">
        <f t="shared" si="25"/>
        <v>#N/A</v>
      </c>
      <c r="L36" s="11" t="str">
        <f t="shared" si="0"/>
        <v>Operations &amp; Maintenance Cost per Year</v>
      </c>
      <c r="M36" s="3" t="str">
        <f t="shared" si="1"/>
        <v>Calc</v>
      </c>
      <c r="N36" s="62" t="e">
        <f>N34</f>
        <v>#N/A</v>
      </c>
      <c r="O36" s="62" t="e">
        <f>O34</f>
        <v>#N/A</v>
      </c>
      <c r="P36" s="62" t="e">
        <f t="shared" ref="P36:T36" si="26">P34</f>
        <v>#N/A</v>
      </c>
      <c r="Q36" s="62" t="e">
        <f t="shared" si="26"/>
        <v>#N/A</v>
      </c>
      <c r="R36" s="62" t="e">
        <f t="shared" si="26"/>
        <v>#N/A</v>
      </c>
      <c r="S36" s="62" t="e">
        <f t="shared" si="26"/>
        <v>#N/A</v>
      </c>
      <c r="T36" s="62" t="e">
        <f t="shared" si="26"/>
        <v>#N/A</v>
      </c>
    </row>
    <row r="38" spans="1:20">
      <c r="L38" s="2" t="s">
        <v>610</v>
      </c>
    </row>
    <row r="39" spans="1:20">
      <c r="L39" s="476" t="s">
        <v>475</v>
      </c>
      <c r="M39" s="476"/>
      <c r="N39" s="477" t="e">
        <f>N31-C31</f>
        <v>#N/A</v>
      </c>
      <c r="O39" s="477" t="e">
        <f t="shared" ref="O39:T44" si="27">O31-D31</f>
        <v>#N/A</v>
      </c>
      <c r="P39" s="477" t="e">
        <f t="shared" si="27"/>
        <v>#N/A</v>
      </c>
      <c r="Q39" s="477" t="e">
        <f t="shared" si="27"/>
        <v>#N/A</v>
      </c>
      <c r="R39" s="477" t="e">
        <f t="shared" si="27"/>
        <v>#N/A</v>
      </c>
      <c r="S39" s="477" t="e">
        <f t="shared" si="27"/>
        <v>#N/A</v>
      </c>
      <c r="T39" s="477" t="e">
        <f t="shared" si="27"/>
        <v>#N/A</v>
      </c>
    </row>
    <row r="40" spans="1:20">
      <c r="C40" s="49"/>
      <c r="L40" s="476" t="s">
        <v>122</v>
      </c>
      <c r="M40" s="476" t="s">
        <v>11</v>
      </c>
      <c r="N40" s="477" t="e">
        <f t="shared" ref="N40:N44" si="28">N32-C32</f>
        <v>#N/A</v>
      </c>
      <c r="O40" s="478" t="e">
        <f t="shared" si="27"/>
        <v>#N/A</v>
      </c>
      <c r="P40" s="478" t="e">
        <f t="shared" si="27"/>
        <v>#N/A</v>
      </c>
      <c r="Q40" s="478" t="e">
        <f t="shared" si="27"/>
        <v>#N/A</v>
      </c>
      <c r="R40" s="478" t="e">
        <f t="shared" si="27"/>
        <v>#N/A</v>
      </c>
      <c r="S40" s="478" t="e">
        <f t="shared" si="27"/>
        <v>#N/A</v>
      </c>
      <c r="T40" s="478" t="e">
        <f t="shared" si="27"/>
        <v>#N/A</v>
      </c>
    </row>
    <row r="41" spans="1:20">
      <c r="A41" s="45"/>
      <c r="E41" s="45"/>
      <c r="F41" s="45"/>
      <c r="G41" s="45"/>
      <c r="L41" s="476" t="s">
        <v>408</v>
      </c>
      <c r="M41" s="476" t="s">
        <v>11</v>
      </c>
      <c r="N41" s="477" t="e">
        <f t="shared" si="28"/>
        <v>#N/A</v>
      </c>
      <c r="O41" s="478" t="e">
        <f t="shared" si="27"/>
        <v>#N/A</v>
      </c>
      <c r="P41" s="478" t="e">
        <f t="shared" si="27"/>
        <v>#N/A</v>
      </c>
      <c r="Q41" s="478" t="e">
        <f t="shared" si="27"/>
        <v>#N/A</v>
      </c>
      <c r="R41" s="478" t="e">
        <f t="shared" si="27"/>
        <v>#N/A</v>
      </c>
      <c r="S41" s="478" t="e">
        <f t="shared" si="27"/>
        <v>#N/A</v>
      </c>
      <c r="T41" s="478" t="e">
        <f t="shared" si="27"/>
        <v>#N/A</v>
      </c>
    </row>
    <row r="42" spans="1:20">
      <c r="A42" s="45" t="s">
        <v>458</v>
      </c>
      <c r="G42" s="45"/>
      <c r="L42" s="476" t="s">
        <v>521</v>
      </c>
      <c r="M42" s="476" t="s">
        <v>11</v>
      </c>
      <c r="N42" s="477" t="e">
        <f t="shared" si="28"/>
        <v>#N/A</v>
      </c>
      <c r="O42" s="478" t="e">
        <f t="shared" si="27"/>
        <v>#N/A</v>
      </c>
      <c r="P42" s="478" t="e">
        <f t="shared" si="27"/>
        <v>#N/A</v>
      </c>
      <c r="Q42" s="478" t="e">
        <f t="shared" si="27"/>
        <v>#N/A</v>
      </c>
      <c r="R42" s="478" t="e">
        <f t="shared" si="27"/>
        <v>#N/A</v>
      </c>
      <c r="S42" s="478" t="e">
        <f t="shared" si="27"/>
        <v>#N/A</v>
      </c>
      <c r="T42" s="478" t="e">
        <f t="shared" si="27"/>
        <v>#N/A</v>
      </c>
    </row>
    <row r="43" spans="1:20">
      <c r="A43" s="46" t="s">
        <v>436</v>
      </c>
      <c r="B43" s="46" t="s">
        <v>437</v>
      </c>
      <c r="C43" s="46" t="s">
        <v>438</v>
      </c>
      <c r="D43" s="46" t="s">
        <v>439</v>
      </c>
      <c r="E43" s="46" t="s">
        <v>440</v>
      </c>
      <c r="F43" s="46" t="s">
        <v>441</v>
      </c>
      <c r="G43" s="46" t="s">
        <v>443</v>
      </c>
      <c r="H43" s="1" t="s">
        <v>457</v>
      </c>
      <c r="L43" s="476" t="s">
        <v>473</v>
      </c>
      <c r="M43" s="476" t="s">
        <v>11</v>
      </c>
      <c r="N43" s="477" t="e">
        <f t="shared" si="28"/>
        <v>#N/A</v>
      </c>
      <c r="O43" s="478" t="e">
        <f>O35-D35</f>
        <v>#N/A</v>
      </c>
      <c r="P43" s="478" t="e">
        <f t="shared" si="27"/>
        <v>#N/A</v>
      </c>
      <c r="Q43" s="478" t="e">
        <f t="shared" si="27"/>
        <v>#N/A</v>
      </c>
      <c r="R43" s="478" t="e">
        <f t="shared" si="27"/>
        <v>#N/A</v>
      </c>
      <c r="S43" s="478" t="e">
        <f t="shared" si="27"/>
        <v>#N/A</v>
      </c>
      <c r="T43" s="478" t="e">
        <f t="shared" si="27"/>
        <v>#N/A</v>
      </c>
    </row>
    <row r="44" spans="1:20">
      <c r="A44" s="47">
        <v>3000</v>
      </c>
      <c r="B44" s="48" t="e">
        <f>ROUNDDOWN(C44/AssumptionTables!$C$43/AssumptionTables!$C$44,0)</f>
        <v>#N/A</v>
      </c>
      <c r="C44" s="48" t="e">
        <f>D44*2000/AssumptionTables!$C$45</f>
        <v>#N/A</v>
      </c>
      <c r="D44" s="48" t="e">
        <f>ROUNDUP(E44/52,0)</f>
        <v>#N/A</v>
      </c>
      <c r="E44" s="48" t="e">
        <f>F44*A44</f>
        <v>#N/A</v>
      </c>
      <c r="F44" s="50" t="e">
        <f>G44/2000</f>
        <v>#N/A</v>
      </c>
      <c r="G44" s="53" t="e">
        <f>TonnageImpacts!$C$7*52</f>
        <v>#N/A</v>
      </c>
      <c r="H44" s="63">
        <f>AssumptionTables!$C$43*AssumptionTables!$C$45*AssumptionTables!$C$44</f>
        <v>1950</v>
      </c>
      <c r="L44" s="476" t="s">
        <v>474</v>
      </c>
      <c r="M44" s="476" t="s">
        <v>11</v>
      </c>
      <c r="N44" s="477" t="e">
        <f t="shared" si="28"/>
        <v>#N/A</v>
      </c>
      <c r="O44" s="478" t="e">
        <f t="shared" si="27"/>
        <v>#N/A</v>
      </c>
      <c r="P44" s="478" t="e">
        <f t="shared" si="27"/>
        <v>#N/A</v>
      </c>
      <c r="Q44" s="478" t="e">
        <f t="shared" si="27"/>
        <v>#N/A</v>
      </c>
      <c r="R44" s="478" t="e">
        <f t="shared" si="27"/>
        <v>#N/A</v>
      </c>
      <c r="S44" s="478" t="e">
        <f t="shared" si="27"/>
        <v>#N/A</v>
      </c>
      <c r="T44" s="478" t="e">
        <f t="shared" si="27"/>
        <v>#N/A</v>
      </c>
    </row>
    <row r="45" spans="1:20">
      <c r="A45" s="47">
        <v>5000</v>
      </c>
      <c r="B45" s="48" t="e">
        <f>ROUNDDOWN(C45/AssumptionTables!$C$43/AssumptionTables!$C$44,0)</f>
        <v>#N/A</v>
      </c>
      <c r="C45" s="48" t="e">
        <f>D45*2000/AssumptionTables!$C$45</f>
        <v>#N/A</v>
      </c>
      <c r="D45" s="48" t="e">
        <f t="shared" ref="D45:D48" si="29">ROUNDUP(E45/52,0)</f>
        <v>#N/A</v>
      </c>
      <c r="E45" s="48" t="e">
        <f t="shared" ref="E45:E48" si="30">F45*A45</f>
        <v>#N/A</v>
      </c>
      <c r="F45" s="50" t="e">
        <f t="shared" ref="F45:F48" si="31">G45/2000</f>
        <v>#N/A</v>
      </c>
      <c r="G45" s="53" t="e">
        <f>TonnageImpacts!$C$7*52</f>
        <v>#N/A</v>
      </c>
      <c r="H45" s="63">
        <f>AssumptionTables!$C$43*AssumptionTables!$C$45*AssumptionTables!$C$44</f>
        <v>1950</v>
      </c>
    </row>
    <row r="46" spans="1:20">
      <c r="A46" s="47">
        <v>8600</v>
      </c>
      <c r="B46" s="48" t="e">
        <f>ROUNDDOWN(C46/AssumptionTables!$C$43/AssumptionTables!$C$44,0)</f>
        <v>#N/A</v>
      </c>
      <c r="C46" s="48" t="e">
        <f>D46*2000/AssumptionTables!$C$45</f>
        <v>#N/A</v>
      </c>
      <c r="D46" s="48" t="e">
        <f t="shared" si="29"/>
        <v>#N/A</v>
      </c>
      <c r="E46" s="48" t="e">
        <f t="shared" si="30"/>
        <v>#N/A</v>
      </c>
      <c r="F46" s="50" t="e">
        <f t="shared" si="31"/>
        <v>#N/A</v>
      </c>
      <c r="G46" s="53" t="e">
        <f>TonnageImpacts!$C$7*52</f>
        <v>#N/A</v>
      </c>
      <c r="H46" s="63">
        <f>AssumptionTables!$C$43*AssumptionTables!$C$45*AssumptionTables!$C$44</f>
        <v>1950</v>
      </c>
    </row>
    <row r="47" spans="1:20">
      <c r="A47" s="47">
        <v>25000</v>
      </c>
      <c r="B47" s="48" t="e">
        <f>ROUNDDOWN(C47/AssumptionTables!$C$43/AssumptionTables!$C$44,0)</f>
        <v>#N/A</v>
      </c>
      <c r="C47" s="48" t="e">
        <f>D47*2000/AssumptionTables!$C$45</f>
        <v>#N/A</v>
      </c>
      <c r="D47" s="48" t="e">
        <f t="shared" si="29"/>
        <v>#N/A</v>
      </c>
      <c r="E47" s="48" t="e">
        <f t="shared" si="30"/>
        <v>#N/A</v>
      </c>
      <c r="F47" s="50" t="e">
        <f t="shared" si="31"/>
        <v>#N/A</v>
      </c>
      <c r="G47" s="53" t="e">
        <f>TonnageImpacts!$C$7*52</f>
        <v>#N/A</v>
      </c>
      <c r="H47" s="63">
        <f>AssumptionTables!$C$43*AssumptionTables!$C$45*AssumptionTables!$C$44</f>
        <v>1950</v>
      </c>
    </row>
    <row r="48" spans="1:20">
      <c r="A48" s="47">
        <v>40000</v>
      </c>
      <c r="B48" s="48" t="e">
        <f>ROUNDDOWN(C48/AssumptionTables!$C$43/AssumptionTables!$C$44,0)</f>
        <v>#N/A</v>
      </c>
      <c r="C48" s="48" t="e">
        <f>D48*2000/AssumptionTables!$C$45</f>
        <v>#N/A</v>
      </c>
      <c r="D48" s="48" t="e">
        <f t="shared" si="29"/>
        <v>#N/A</v>
      </c>
      <c r="E48" s="48" t="e">
        <f t="shared" si="30"/>
        <v>#N/A</v>
      </c>
      <c r="F48" s="50" t="e">
        <f t="shared" si="31"/>
        <v>#N/A</v>
      </c>
      <c r="G48" s="53" t="e">
        <f>TonnageImpacts!$C$7*52</f>
        <v>#N/A</v>
      </c>
      <c r="H48" s="63">
        <f>AssumptionTables!$C$43*AssumptionTables!$C$45*AssumptionTables!$C$44</f>
        <v>1950</v>
      </c>
    </row>
    <row r="49" spans="2:3">
      <c r="B49" s="64">
        <v>7.12</v>
      </c>
      <c r="C49" s="65">
        <v>16.718179259999999</v>
      </c>
    </row>
  </sheetData>
  <customSheetViews>
    <customSheetView guid="{C6E026A6-065F-4BC7-8A1C-5537BAE31A06}" state="hidden">
      <pageMargins left="0.7" right="0.7" top="0.75" bottom="0.75" header="0.3" footer="0.3"/>
      <pageSetup orientation="portrait" horizontalDpi="4294967293" verticalDpi="0" r:id="rId1"/>
    </customSheetView>
    <customSheetView guid="{C1E42E27-80DF-5D46-A74B-2BA4AA86045C}" state="hidden">
      <pageMargins left="0.7" right="0.7" top="0.75" bottom="0.75" header="0.3" footer="0.3"/>
      <pageSetup orientation="portrait" horizontalDpi="4294967293" verticalDpi="0" r:id="rId2"/>
    </customSheetView>
    <customSheetView guid="{487CB698-FD0E-4580-BCE5-B1F3904B4ADD}">
      <selection activeCell="A5" sqref="A5"/>
      <pageMargins left="0.7" right="0.7" top="0.75" bottom="0.75" header="0.3" footer="0.3"/>
    </customSheetView>
  </customSheetViews>
  <pageMargins left="0.7" right="0.7" top="0.75" bottom="0.75" header="0.3" footer="0.3"/>
  <pageSetup orientation="portrait" horizontalDpi="4294967293" verticalDpi="0"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workbookViewId="0"/>
  </sheetViews>
  <sheetFormatPr defaultColWidth="8.85546875" defaultRowHeight="16.5"/>
  <cols>
    <col min="1" max="1" width="27.140625" style="28" customWidth="1"/>
    <col min="2" max="2" width="22.140625" style="28" customWidth="1"/>
    <col min="3" max="3" width="8.85546875" style="28"/>
    <col min="4" max="4" width="12" style="28" customWidth="1"/>
    <col min="5" max="5" width="12.85546875" style="28" customWidth="1"/>
    <col min="6" max="6" width="16.140625" style="28" customWidth="1"/>
    <col min="7" max="7" width="17.140625" style="28" customWidth="1"/>
    <col min="8" max="8" width="13" style="28" customWidth="1"/>
    <col min="9" max="9" width="9.85546875" style="28" bestFit="1" customWidth="1"/>
    <col min="10" max="13" width="8.85546875" style="28"/>
    <col min="14" max="14" width="10.42578125" style="28" customWidth="1"/>
    <col min="15" max="15" width="11.140625" style="28" customWidth="1"/>
    <col min="16" max="16" width="12.42578125" style="28" customWidth="1"/>
    <col min="17" max="17" width="12.140625" style="28" customWidth="1"/>
    <col min="18" max="18" width="8.85546875" style="28"/>
    <col min="19" max="19" width="11.140625" style="28" customWidth="1"/>
    <col min="20" max="16384" width="8.85546875" style="28"/>
  </cols>
  <sheetData>
    <row r="1" spans="1:20" ht="20.25">
      <c r="A1" s="12" t="s">
        <v>169</v>
      </c>
      <c r="B1" s="1"/>
      <c r="C1" s="1"/>
      <c r="D1" s="1"/>
      <c r="E1" s="1"/>
      <c r="F1" s="1"/>
      <c r="G1" s="1"/>
      <c r="H1" s="1"/>
      <c r="I1" s="1"/>
    </row>
    <row r="2" spans="1:20">
      <c r="A2" s="1"/>
      <c r="B2" s="1" t="s">
        <v>9</v>
      </c>
      <c r="C2" s="2" t="s">
        <v>4</v>
      </c>
      <c r="D2" s="2" t="s">
        <v>58</v>
      </c>
      <c r="E2" s="2" t="s">
        <v>7</v>
      </c>
      <c r="F2" s="2" t="s">
        <v>59</v>
      </c>
      <c r="G2" s="2" t="s">
        <v>5</v>
      </c>
      <c r="H2" s="2" t="s">
        <v>12</v>
      </c>
      <c r="I2" s="2" t="s">
        <v>6</v>
      </c>
      <c r="K2" s="1"/>
      <c r="L2" s="1" t="s">
        <v>9</v>
      </c>
      <c r="M2" s="2" t="s">
        <v>4</v>
      </c>
      <c r="N2" s="2" t="s">
        <v>58</v>
      </c>
      <c r="O2" s="2" t="s">
        <v>7</v>
      </c>
      <c r="P2" s="2" t="s">
        <v>59</v>
      </c>
      <c r="Q2" s="2" t="s">
        <v>5</v>
      </c>
      <c r="R2" s="2" t="s">
        <v>12</v>
      </c>
      <c r="S2" s="2" t="s">
        <v>6</v>
      </c>
    </row>
    <row r="3" spans="1:20">
      <c r="A3" s="1" t="s">
        <v>127</v>
      </c>
      <c r="B3" s="1" t="s">
        <v>129</v>
      </c>
      <c r="C3" s="3" t="e">
        <f>TruckCosts!C9</f>
        <v>#N/A</v>
      </c>
      <c r="D3" s="3" t="e">
        <f>TruckCosts!D9</f>
        <v>#N/A</v>
      </c>
      <c r="E3" s="3" t="e">
        <f>TruckCosts!E9</f>
        <v>#N/A</v>
      </c>
      <c r="F3" s="3" t="e">
        <f>TruckCosts!F9</f>
        <v>#N/A</v>
      </c>
      <c r="G3" s="3" t="e">
        <f>TruckCosts!G9</f>
        <v>#N/A</v>
      </c>
      <c r="H3" s="3" t="e">
        <f>TruckCosts!H9</f>
        <v>#N/A</v>
      </c>
      <c r="I3" s="3" t="e">
        <f>TruckCosts!I9</f>
        <v>#N/A</v>
      </c>
      <c r="K3" s="1" t="s">
        <v>127</v>
      </c>
      <c r="L3" s="1" t="s">
        <v>129</v>
      </c>
      <c r="M3" s="3" t="e">
        <f>TruckCosts!N9</f>
        <v>#N/A</v>
      </c>
      <c r="N3" s="3" t="e">
        <f>TruckCosts!O9</f>
        <v>#N/A</v>
      </c>
      <c r="O3" s="3" t="e">
        <f>TruckCosts!P9</f>
        <v>#N/A</v>
      </c>
      <c r="P3" s="3" t="e">
        <f>TruckCosts!Q9</f>
        <v>#N/A</v>
      </c>
      <c r="Q3" s="3" t="e">
        <f>TruckCosts!R9</f>
        <v>#N/A</v>
      </c>
      <c r="R3" s="3" t="e">
        <f>TruckCosts!S9</f>
        <v>#N/A</v>
      </c>
      <c r="S3" s="3" t="e">
        <f>TruckCosts!T9</f>
        <v>#N/A</v>
      </c>
      <c r="T3" s="3"/>
    </row>
    <row r="4" spans="1:20">
      <c r="A4" s="1" t="s">
        <v>160</v>
      </c>
      <c r="B4" s="1" t="s">
        <v>161</v>
      </c>
      <c r="C4" s="3">
        <v>1</v>
      </c>
      <c r="D4" s="3">
        <v>2</v>
      </c>
      <c r="E4" s="3">
        <v>2</v>
      </c>
      <c r="F4" s="3">
        <v>1</v>
      </c>
      <c r="G4" s="3">
        <v>1</v>
      </c>
      <c r="H4" s="3">
        <v>1</v>
      </c>
      <c r="I4" s="3">
        <v>1</v>
      </c>
      <c r="K4" s="1" t="s">
        <v>160</v>
      </c>
      <c r="L4" s="1" t="s">
        <v>161</v>
      </c>
      <c r="M4" s="3">
        <v>1</v>
      </c>
      <c r="N4" s="3">
        <v>2</v>
      </c>
      <c r="O4" s="3">
        <v>2</v>
      </c>
      <c r="P4" s="3">
        <v>1</v>
      </c>
      <c r="Q4" s="3">
        <v>1</v>
      </c>
      <c r="R4" s="3">
        <v>1</v>
      </c>
      <c r="S4" s="3">
        <v>1</v>
      </c>
    </row>
    <row r="5" spans="1:20">
      <c r="A5" s="1" t="s">
        <v>494</v>
      </c>
      <c r="B5" s="1" t="s">
        <v>11</v>
      </c>
      <c r="C5" s="3" t="e">
        <f>C3*C4</f>
        <v>#N/A</v>
      </c>
      <c r="D5" s="3" t="e">
        <f t="shared" ref="D5:I5" si="0">D3*D4</f>
        <v>#N/A</v>
      </c>
      <c r="E5" s="3" t="e">
        <f t="shared" si="0"/>
        <v>#N/A</v>
      </c>
      <c r="F5" s="3" t="e">
        <f t="shared" si="0"/>
        <v>#N/A</v>
      </c>
      <c r="G5" s="3" t="e">
        <f t="shared" si="0"/>
        <v>#N/A</v>
      </c>
      <c r="H5" s="3" t="e">
        <f t="shared" si="0"/>
        <v>#N/A</v>
      </c>
      <c r="I5" s="3" t="e">
        <f t="shared" si="0"/>
        <v>#N/A</v>
      </c>
      <c r="K5" s="1" t="s">
        <v>494</v>
      </c>
      <c r="L5" s="1" t="s">
        <v>11</v>
      </c>
      <c r="M5" s="3" t="e">
        <f>M3*M4</f>
        <v>#N/A</v>
      </c>
      <c r="N5" s="3" t="e">
        <f t="shared" ref="N5:S5" si="1">N3*N4</f>
        <v>#N/A</v>
      </c>
      <c r="O5" s="3" t="e">
        <f t="shared" si="1"/>
        <v>#N/A</v>
      </c>
      <c r="P5" s="3" t="e">
        <f t="shared" si="1"/>
        <v>#N/A</v>
      </c>
      <c r="Q5" s="3" t="e">
        <f t="shared" si="1"/>
        <v>#N/A</v>
      </c>
      <c r="R5" s="3" t="e">
        <f t="shared" si="1"/>
        <v>#N/A</v>
      </c>
      <c r="S5" s="3" t="e">
        <f t="shared" si="1"/>
        <v>#N/A</v>
      </c>
    </row>
    <row r="6" spans="1:20">
      <c r="A6" s="1" t="s">
        <v>162</v>
      </c>
      <c r="B6" s="1" t="s">
        <v>11</v>
      </c>
      <c r="C6" s="3" t="e">
        <f>IF(C5&lt;8,0,IF(C5&lt;12,1,IF(C5&lt;25,2,IF(C5&lt;35,3,IF(C5&lt;45,4,IF(C5&lt;55,5,IF(C5&lt;65,6,IF(C5&lt;75,7,IF(C5&lt;85,8,IF(C5&lt;120,10))))))))))</f>
        <v>#N/A</v>
      </c>
      <c r="D6" s="3" t="e">
        <f t="shared" ref="D6:I6" si="2">IF(D5&lt;8,0,IF(D5&lt;12,1,IF(D5&lt;25,2,IF(D5&lt;35,3,IF(D5&lt;45,4,IF(D5&lt;55,5,IF(D5&lt;65,6,IF(D5&lt;75,7,IF(D5&lt;85,8,IF(D5&lt;120,10))))))))))</f>
        <v>#N/A</v>
      </c>
      <c r="E6" s="3" t="e">
        <f t="shared" si="2"/>
        <v>#N/A</v>
      </c>
      <c r="F6" s="3" t="e">
        <f t="shared" si="2"/>
        <v>#N/A</v>
      </c>
      <c r="G6" s="3" t="e">
        <f t="shared" si="2"/>
        <v>#N/A</v>
      </c>
      <c r="H6" s="3" t="e">
        <f t="shared" si="2"/>
        <v>#N/A</v>
      </c>
      <c r="I6" s="3" t="e">
        <f t="shared" si="2"/>
        <v>#N/A</v>
      </c>
      <c r="K6" s="1" t="s">
        <v>162</v>
      </c>
      <c r="L6" s="1" t="s">
        <v>11</v>
      </c>
      <c r="M6" s="3" t="e">
        <f>IF(M5&lt;8,0,IF(M5&lt;12,1,IF(M5&lt;25,2,IF(M5&lt;35,3,IF(M5&lt;45,4,IF(M5&lt;55,5,IF(M5&lt;65,6,IF(M5&lt;75,7,IF(M5&lt;85,8,IF(M5&lt;120,10))))))))))</f>
        <v>#N/A</v>
      </c>
      <c r="N6" s="3" t="e">
        <f t="shared" ref="N6:S6" si="3">IF(N5&lt;8,0,IF(N5&lt;12,1,IF(N5&lt;25,2,IF(N5&lt;35,3,IF(N5&lt;45,4,IF(N5&lt;55,5,IF(N5&lt;65,6,IF(N5&lt;75,7,IF(N5&lt;85,8,IF(N5&lt;120,10))))))))))</f>
        <v>#N/A</v>
      </c>
      <c r="O6" s="3" t="e">
        <f t="shared" si="3"/>
        <v>#N/A</v>
      </c>
      <c r="P6" s="3" t="e">
        <f t="shared" si="3"/>
        <v>#N/A</v>
      </c>
      <c r="Q6" s="3" t="e">
        <f t="shared" si="3"/>
        <v>#N/A</v>
      </c>
      <c r="R6" s="3" t="e">
        <f t="shared" si="3"/>
        <v>#N/A</v>
      </c>
      <c r="S6" s="3" t="e">
        <f t="shared" si="3"/>
        <v>#N/A</v>
      </c>
    </row>
    <row r="7" spans="1:20">
      <c r="A7" s="1" t="s">
        <v>495</v>
      </c>
      <c r="B7" s="1"/>
      <c r="C7" s="3" t="e">
        <f>ContainerCosts!C4</f>
        <v>#N/A</v>
      </c>
      <c r="D7" s="14" t="e">
        <f>ContainerCosts!D4</f>
        <v>#N/A</v>
      </c>
      <c r="E7" s="14" t="e">
        <f>ContainerCosts!E4</f>
        <v>#N/A</v>
      </c>
      <c r="F7" s="14" t="e">
        <f>ContainerCosts!F4</f>
        <v>#N/A</v>
      </c>
      <c r="G7" s="14" t="e">
        <f>ContainerCosts!G4</f>
        <v>#N/A</v>
      </c>
      <c r="H7" s="14" t="e">
        <f>ContainerCosts!H4</f>
        <v>#N/A</v>
      </c>
      <c r="I7" s="14" t="e">
        <f>ContainerCosts!I4</f>
        <v>#N/A</v>
      </c>
      <c r="K7" s="1" t="s">
        <v>495</v>
      </c>
      <c r="L7" s="1"/>
      <c r="M7" s="3" t="e">
        <f>C7</f>
        <v>#N/A</v>
      </c>
      <c r="N7" s="3" t="e">
        <f t="shared" ref="N7:P7" si="4">D7</f>
        <v>#N/A</v>
      </c>
      <c r="O7" s="3" t="e">
        <f t="shared" si="4"/>
        <v>#N/A</v>
      </c>
      <c r="P7" s="3" t="e">
        <f t="shared" si="4"/>
        <v>#N/A</v>
      </c>
      <c r="Q7" s="3" t="e">
        <f t="shared" ref="Q7" si="5">G7</f>
        <v>#N/A</v>
      </c>
      <c r="R7" s="3" t="e">
        <f t="shared" ref="R7:S7" si="6">H7</f>
        <v>#N/A</v>
      </c>
      <c r="S7" s="3" t="e">
        <f t="shared" si="6"/>
        <v>#N/A</v>
      </c>
    </row>
    <row r="8" spans="1:20">
      <c r="A8" s="1" t="s">
        <v>496</v>
      </c>
      <c r="B8" s="1" t="s">
        <v>11</v>
      </c>
      <c r="C8" s="3">
        <v>0</v>
      </c>
      <c r="D8" s="3" t="e">
        <f>IF(D7&lt;20000,0,IF(D7&lt;40000,1,IF(D7&lt;70000,IF(D7&lt;100000,3, IF(D7&lt;300000,4,0)))))</f>
        <v>#N/A</v>
      </c>
      <c r="E8" s="3" t="e">
        <f>IF(E7&lt;20000,0,IF(E7&lt;40000,1,IF(E7&lt;70000,IF(E7&lt;100000,3, IF(E7&lt;300000,4,0)))))</f>
        <v>#N/A</v>
      </c>
      <c r="F8" s="3" t="e">
        <f>IF(F7&lt;15000,0,IF(F7&lt;30000,1,IF(F7&lt;60000,2,IF(F7&lt;100000,3, IF(F7&lt;400000,4,0)))))</f>
        <v>#N/A</v>
      </c>
      <c r="G8" s="3" t="e">
        <f t="shared" ref="G8:I8" si="7">IF(G7&lt;15000,0,IF(G7&lt;30000,1,IF(G7&lt;60000,2,IF(G7&lt;100000,3, IF(G7&lt;400000,4,0)))))</f>
        <v>#N/A</v>
      </c>
      <c r="H8" s="3" t="e">
        <f t="shared" si="7"/>
        <v>#N/A</v>
      </c>
      <c r="I8" s="3" t="e">
        <f t="shared" si="7"/>
        <v>#N/A</v>
      </c>
      <c r="K8" s="1" t="s">
        <v>496</v>
      </c>
      <c r="L8" s="1" t="s">
        <v>11</v>
      </c>
      <c r="M8" s="3">
        <v>0</v>
      </c>
      <c r="N8" s="3" t="e">
        <f>IF(N7&lt;20000,0,IF(N7&lt;40000,1,IF(N7&lt;70000,IF(N7&lt;100000,3, IF(N7&lt;300000,4,0)))))</f>
        <v>#N/A</v>
      </c>
      <c r="O8" s="3" t="e">
        <f>IF(O7&lt;20000,0,IF(O7&lt;40000,1,IF(O7&lt;70000,IF(O7&lt;100000,3, IF(O7&lt;300000,4,0)))))</f>
        <v>#N/A</v>
      </c>
      <c r="P8" s="3" t="e">
        <f>IF(P7&lt;15000,0,IF(P7&lt;30000,1,IF(P7&lt;60000,2,IF(P7&lt;100000,3, IF(P7&lt;400000,4,0)))))</f>
        <v>#N/A</v>
      </c>
      <c r="Q8" s="3" t="e">
        <f t="shared" ref="Q8:S8" si="8">IF(Q7&lt;15000,0,IF(Q7&lt;30000,1,IF(Q7&lt;60000,2,IF(Q7&lt;100000,3, IF(Q7&lt;400000,4,0)))))</f>
        <v>#N/A</v>
      </c>
      <c r="R8" s="3" t="e">
        <f t="shared" si="8"/>
        <v>#N/A</v>
      </c>
      <c r="S8" s="3" t="e">
        <f t="shared" si="8"/>
        <v>#N/A</v>
      </c>
    </row>
    <row r="9" spans="1:20">
      <c r="A9" s="1" t="s">
        <v>163</v>
      </c>
      <c r="B9" s="1" t="s">
        <v>138</v>
      </c>
      <c r="C9" s="22">
        <f>AssumptionTables!$C$26</f>
        <v>66000</v>
      </c>
      <c r="D9" s="22">
        <f>AssumptionTables!$C$26</f>
        <v>66000</v>
      </c>
      <c r="E9" s="22">
        <f>AssumptionTables!$C$26</f>
        <v>66000</v>
      </c>
      <c r="F9" s="22">
        <f>AssumptionTables!$C$26</f>
        <v>66000</v>
      </c>
      <c r="G9" s="22">
        <f>AssumptionTables!$C$26</f>
        <v>66000</v>
      </c>
      <c r="H9" s="22">
        <f>AssumptionTables!$C$26</f>
        <v>66000</v>
      </c>
      <c r="I9" s="22">
        <f>AssumptionTables!$C$26</f>
        <v>66000</v>
      </c>
      <c r="K9" s="1" t="s">
        <v>163</v>
      </c>
      <c r="L9" s="1" t="s">
        <v>138</v>
      </c>
      <c r="M9" s="22">
        <f>AssumptionTables!$C$26</f>
        <v>66000</v>
      </c>
      <c r="N9" s="22">
        <f>AssumptionTables!$C$26</f>
        <v>66000</v>
      </c>
      <c r="O9" s="22">
        <f>AssumptionTables!$C$26</f>
        <v>66000</v>
      </c>
      <c r="P9" s="22">
        <f>AssumptionTables!$C$26</f>
        <v>66000</v>
      </c>
      <c r="Q9" s="22">
        <f>AssumptionTables!$C$26</f>
        <v>66000</v>
      </c>
      <c r="R9" s="22">
        <f>AssumptionTables!$C$26</f>
        <v>66000</v>
      </c>
      <c r="S9" s="22">
        <f>AssumptionTables!$C$26</f>
        <v>66000</v>
      </c>
    </row>
    <row r="10" spans="1:20">
      <c r="A10" s="1" t="s">
        <v>168</v>
      </c>
      <c r="B10" s="1" t="s">
        <v>138</v>
      </c>
      <c r="C10" s="22">
        <f>AssumptionTables!$C$27</f>
        <v>76000</v>
      </c>
      <c r="D10" s="22">
        <f>AssumptionTables!$C$27</f>
        <v>76000</v>
      </c>
      <c r="E10" s="22">
        <f>AssumptionTables!$C$27</f>
        <v>76000</v>
      </c>
      <c r="F10" s="22">
        <f>AssumptionTables!$C$27</f>
        <v>76000</v>
      </c>
      <c r="G10" s="22">
        <f>AssumptionTables!$C$27</f>
        <v>76000</v>
      </c>
      <c r="H10" s="22">
        <f>AssumptionTables!$C$27</f>
        <v>76000</v>
      </c>
      <c r="I10" s="22">
        <f>AssumptionTables!$C$27</f>
        <v>76000</v>
      </c>
      <c r="K10" s="1" t="s">
        <v>168</v>
      </c>
      <c r="L10" s="1" t="s">
        <v>138</v>
      </c>
      <c r="M10" s="22">
        <f>AssumptionTables!$C$27</f>
        <v>76000</v>
      </c>
      <c r="N10" s="22">
        <f>AssumptionTables!$C$27</f>
        <v>76000</v>
      </c>
      <c r="O10" s="22">
        <f>AssumptionTables!$C$27</f>
        <v>76000</v>
      </c>
      <c r="P10" s="22">
        <f>AssumptionTables!$C$27</f>
        <v>76000</v>
      </c>
      <c r="Q10" s="22">
        <f>AssumptionTables!$C$27</f>
        <v>76000</v>
      </c>
      <c r="R10" s="22">
        <f>AssumptionTables!$C$27</f>
        <v>76000</v>
      </c>
      <c r="S10" s="22">
        <f>AssumptionTables!$C$27</f>
        <v>76000</v>
      </c>
    </row>
    <row r="11" spans="1:20">
      <c r="A11" s="1" t="s">
        <v>170</v>
      </c>
      <c r="B11" s="1" t="s">
        <v>138</v>
      </c>
      <c r="C11" s="22">
        <f>AssumptionTables!$C$28</f>
        <v>66000</v>
      </c>
      <c r="D11" s="22">
        <f>AssumptionTables!$C$28</f>
        <v>66000</v>
      </c>
      <c r="E11" s="22">
        <f>AssumptionTables!$C$28</f>
        <v>66000</v>
      </c>
      <c r="F11" s="22">
        <f>AssumptionTables!$C$28</f>
        <v>66000</v>
      </c>
      <c r="G11" s="22">
        <f>AssumptionTables!$C$28</f>
        <v>66000</v>
      </c>
      <c r="H11" s="22">
        <f>AssumptionTables!$C$28</f>
        <v>66000</v>
      </c>
      <c r="I11" s="22">
        <f>AssumptionTables!$C$28</f>
        <v>66000</v>
      </c>
      <c r="K11" s="1" t="s">
        <v>170</v>
      </c>
      <c r="L11" s="1" t="s">
        <v>138</v>
      </c>
      <c r="M11" s="22">
        <f>AssumptionTables!$C$28</f>
        <v>66000</v>
      </c>
      <c r="N11" s="22">
        <f>AssumptionTables!$C$28</f>
        <v>66000</v>
      </c>
      <c r="O11" s="22">
        <f>AssumptionTables!$C$28</f>
        <v>66000</v>
      </c>
      <c r="P11" s="22">
        <f>AssumptionTables!$C$28</f>
        <v>66000</v>
      </c>
      <c r="Q11" s="22">
        <f>AssumptionTables!$C$28</f>
        <v>66000</v>
      </c>
      <c r="R11" s="22">
        <f>AssumptionTables!$C$28</f>
        <v>66000</v>
      </c>
      <c r="S11" s="22">
        <f>AssumptionTables!$C$28</f>
        <v>66000</v>
      </c>
    </row>
    <row r="12" spans="1:20">
      <c r="A12" s="1" t="s">
        <v>181</v>
      </c>
      <c r="B12" s="1"/>
      <c r="C12" s="15" t="e">
        <f>(C5*C9)+(C6*C10)+(C8*C11)</f>
        <v>#N/A</v>
      </c>
      <c r="D12" s="15" t="e">
        <f t="shared" ref="D12:I12" si="9">(D5*D9)+(D6*D10)+(D8*D11)</f>
        <v>#N/A</v>
      </c>
      <c r="E12" s="15" t="e">
        <f t="shared" si="9"/>
        <v>#N/A</v>
      </c>
      <c r="F12" s="15" t="e">
        <f t="shared" si="9"/>
        <v>#N/A</v>
      </c>
      <c r="G12" s="15" t="e">
        <f t="shared" si="9"/>
        <v>#N/A</v>
      </c>
      <c r="H12" s="15" t="e">
        <f t="shared" si="9"/>
        <v>#N/A</v>
      </c>
      <c r="I12" s="15" t="e">
        <f t="shared" si="9"/>
        <v>#N/A</v>
      </c>
      <c r="K12" s="1" t="s">
        <v>181</v>
      </c>
      <c r="L12" s="1"/>
      <c r="M12" s="15" t="e">
        <f>(M5*M9)+(M6*M10)+(M8*M11)</f>
        <v>#N/A</v>
      </c>
      <c r="N12" s="15" t="e">
        <f t="shared" ref="N12:S12" si="10">(N5*N9)+(N6*N10)+(N8*N11)</f>
        <v>#N/A</v>
      </c>
      <c r="O12" s="15" t="e">
        <f t="shared" si="10"/>
        <v>#N/A</v>
      </c>
      <c r="P12" s="15" t="e">
        <f t="shared" si="10"/>
        <v>#N/A</v>
      </c>
      <c r="Q12" s="15" t="e">
        <f t="shared" si="10"/>
        <v>#N/A</v>
      </c>
      <c r="R12" s="15" t="e">
        <f t="shared" si="10"/>
        <v>#N/A</v>
      </c>
      <c r="S12" s="15" t="e">
        <f t="shared" si="10"/>
        <v>#N/A</v>
      </c>
    </row>
    <row r="13" spans="1:20">
      <c r="A13" s="1" t="s">
        <v>182</v>
      </c>
      <c r="B13" s="1" t="s">
        <v>136</v>
      </c>
      <c r="C13" s="15" t="e">
        <f>AssumptionTables!$C$33*(C12)</f>
        <v>#N/A</v>
      </c>
      <c r="D13" s="15" t="e">
        <f>AssumptionTables!$C$33*(D12)</f>
        <v>#N/A</v>
      </c>
      <c r="E13" s="15" t="e">
        <f>AssumptionTables!$C$33*(E12)</f>
        <v>#N/A</v>
      </c>
      <c r="F13" s="15" t="e">
        <f>AssumptionTables!$C$33*(F12)</f>
        <v>#N/A</v>
      </c>
      <c r="G13" s="15" t="e">
        <f>AssumptionTables!$C$33*(G12)</f>
        <v>#N/A</v>
      </c>
      <c r="H13" s="15" t="e">
        <f>AssumptionTables!$C$33*(H12)</f>
        <v>#N/A</v>
      </c>
      <c r="I13" s="15" t="e">
        <f>AssumptionTables!$C$33*(I12)</f>
        <v>#N/A</v>
      </c>
      <c r="K13" s="1" t="s">
        <v>182</v>
      </c>
      <c r="L13" s="1" t="s">
        <v>136</v>
      </c>
      <c r="M13" s="15" t="e">
        <f>AssumptionTables!$C$33*(M12)</f>
        <v>#N/A</v>
      </c>
      <c r="N13" s="15" t="e">
        <f>AssumptionTables!$C$33*(N12)</f>
        <v>#N/A</v>
      </c>
      <c r="O13" s="15" t="e">
        <f>AssumptionTables!$C$33*(O12)</f>
        <v>#N/A</v>
      </c>
      <c r="P13" s="15" t="e">
        <f>AssumptionTables!$C$33*(P12)</f>
        <v>#N/A</v>
      </c>
      <c r="Q13" s="15" t="e">
        <f>AssumptionTables!$C$33*(Q12)</f>
        <v>#N/A</v>
      </c>
      <c r="R13" s="15" t="e">
        <f>AssumptionTables!$C$33*(R12)</f>
        <v>#N/A</v>
      </c>
      <c r="S13" s="15" t="e">
        <f>AssumptionTables!$C$33*(S12)</f>
        <v>#N/A</v>
      </c>
    </row>
    <row r="14" spans="1:20">
      <c r="A14" s="1"/>
      <c r="B14" s="1"/>
      <c r="C14" s="1"/>
      <c r="D14" s="1"/>
      <c r="E14" s="1"/>
      <c r="F14" s="1"/>
      <c r="G14" s="1"/>
      <c r="H14" s="1"/>
      <c r="I14" s="1"/>
      <c r="K14" s="1"/>
      <c r="L14" s="1"/>
      <c r="M14" s="1"/>
      <c r="N14" s="1"/>
      <c r="O14" s="1"/>
      <c r="P14" s="1"/>
      <c r="Q14" s="1"/>
      <c r="R14" s="1"/>
      <c r="S14" s="1"/>
    </row>
    <row r="15" spans="1:20">
      <c r="A15" s="2" t="s">
        <v>14</v>
      </c>
      <c r="B15" s="1"/>
      <c r="C15" s="1"/>
      <c r="D15" s="1"/>
      <c r="E15" s="1"/>
      <c r="F15" s="1"/>
      <c r="G15" s="1"/>
      <c r="H15" s="1"/>
      <c r="I15" s="1"/>
      <c r="K15" s="2"/>
      <c r="L15" s="1"/>
      <c r="M15" s="1"/>
      <c r="N15" s="1"/>
      <c r="O15" s="1"/>
      <c r="P15" s="1"/>
      <c r="Q15" s="1"/>
      <c r="R15" s="1"/>
      <c r="S15" s="1"/>
    </row>
    <row r="16" spans="1:20">
      <c r="A16" s="1" t="s">
        <v>184</v>
      </c>
      <c r="B16" s="1"/>
      <c r="C16" s="22" t="e">
        <f>C12+C13</f>
        <v>#N/A</v>
      </c>
      <c r="D16" s="22" t="e">
        <f>D12+D13</f>
        <v>#N/A</v>
      </c>
      <c r="E16" s="22" t="e">
        <f t="shared" ref="E16:I16" si="11">E12+E13</f>
        <v>#N/A</v>
      </c>
      <c r="F16" s="22" t="e">
        <f t="shared" si="11"/>
        <v>#N/A</v>
      </c>
      <c r="G16" s="22" t="e">
        <f t="shared" si="11"/>
        <v>#N/A</v>
      </c>
      <c r="H16" s="22" t="e">
        <f t="shared" si="11"/>
        <v>#N/A</v>
      </c>
      <c r="I16" s="22" t="e">
        <f t="shared" si="11"/>
        <v>#N/A</v>
      </c>
      <c r="K16" s="1" t="s">
        <v>184</v>
      </c>
      <c r="L16" s="1"/>
      <c r="M16" s="22" t="e">
        <f>M12+M13</f>
        <v>#N/A</v>
      </c>
      <c r="N16" s="22" t="e">
        <f>N12+N13</f>
        <v>#N/A</v>
      </c>
      <c r="O16" s="22" t="e">
        <f t="shared" ref="O16:S16" si="12">O12+O13</f>
        <v>#N/A</v>
      </c>
      <c r="P16" s="22" t="e">
        <f t="shared" si="12"/>
        <v>#N/A</v>
      </c>
      <c r="Q16" s="22" t="e">
        <f t="shared" si="12"/>
        <v>#N/A</v>
      </c>
      <c r="R16" s="22" t="e">
        <f t="shared" si="12"/>
        <v>#N/A</v>
      </c>
      <c r="S16" s="22" t="e">
        <f t="shared" si="12"/>
        <v>#N/A</v>
      </c>
    </row>
    <row r="17" spans="1:19">
      <c r="A17" s="1" t="s">
        <v>183</v>
      </c>
      <c r="B17" s="1"/>
      <c r="C17" s="14" t="e">
        <f>(C3*C4)+C8</f>
        <v>#N/A</v>
      </c>
      <c r="D17" s="14" t="e">
        <f t="shared" ref="D17:I17" si="13">(D3*D4)+D8</f>
        <v>#N/A</v>
      </c>
      <c r="E17" s="14" t="e">
        <f t="shared" si="13"/>
        <v>#N/A</v>
      </c>
      <c r="F17" s="14" t="e">
        <f t="shared" si="13"/>
        <v>#N/A</v>
      </c>
      <c r="G17" s="14" t="e">
        <f t="shared" si="13"/>
        <v>#N/A</v>
      </c>
      <c r="H17" s="14" t="e">
        <f t="shared" si="13"/>
        <v>#N/A</v>
      </c>
      <c r="I17" s="14" t="e">
        <f t="shared" si="13"/>
        <v>#N/A</v>
      </c>
      <c r="K17" s="1" t="s">
        <v>183</v>
      </c>
      <c r="L17" s="1"/>
      <c r="M17" s="14" t="e">
        <f>(M3*M4)+M8</f>
        <v>#N/A</v>
      </c>
      <c r="N17" s="14" t="e">
        <f t="shared" ref="N17:S17" si="14">(N3*N4)+N8</f>
        <v>#N/A</v>
      </c>
      <c r="O17" s="14" t="e">
        <f t="shared" si="14"/>
        <v>#N/A</v>
      </c>
      <c r="P17" s="14" t="e">
        <f t="shared" si="14"/>
        <v>#N/A</v>
      </c>
      <c r="Q17" s="14" t="e">
        <f t="shared" si="14"/>
        <v>#N/A</v>
      </c>
      <c r="R17" s="14" t="e">
        <f t="shared" si="14"/>
        <v>#N/A</v>
      </c>
      <c r="S17" s="14" t="e">
        <f t="shared" si="14"/>
        <v>#N/A</v>
      </c>
    </row>
    <row r="18" spans="1:19">
      <c r="A18" s="1" t="s">
        <v>476</v>
      </c>
      <c r="C18" s="14" t="e">
        <f>C6</f>
        <v>#N/A</v>
      </c>
      <c r="D18" s="14" t="e">
        <f>D6</f>
        <v>#N/A</v>
      </c>
      <c r="E18" s="14" t="e">
        <f t="shared" ref="E18:I18" si="15">E6</f>
        <v>#N/A</v>
      </c>
      <c r="F18" s="14" t="e">
        <f t="shared" si="15"/>
        <v>#N/A</v>
      </c>
      <c r="G18" s="14" t="e">
        <f t="shared" si="15"/>
        <v>#N/A</v>
      </c>
      <c r="H18" s="14" t="e">
        <f t="shared" si="15"/>
        <v>#N/A</v>
      </c>
      <c r="I18" s="14" t="e">
        <f t="shared" si="15"/>
        <v>#N/A</v>
      </c>
      <c r="K18" s="1" t="s">
        <v>476</v>
      </c>
      <c r="M18" s="14" t="e">
        <f>M6</f>
        <v>#N/A</v>
      </c>
      <c r="N18" s="14" t="e">
        <f>N6</f>
        <v>#N/A</v>
      </c>
      <c r="O18" s="14" t="e">
        <f t="shared" ref="O18:S18" si="16">O6</f>
        <v>#N/A</v>
      </c>
      <c r="P18" s="14" t="e">
        <f t="shared" si="16"/>
        <v>#N/A</v>
      </c>
      <c r="Q18" s="14" t="e">
        <f t="shared" si="16"/>
        <v>#N/A</v>
      </c>
      <c r="R18" s="14" t="e">
        <f t="shared" si="16"/>
        <v>#N/A</v>
      </c>
      <c r="S18" s="14" t="e">
        <f t="shared" si="16"/>
        <v>#N/A</v>
      </c>
    </row>
    <row r="19" spans="1:19">
      <c r="A19" s="1"/>
    </row>
    <row r="20" spans="1:19">
      <c r="K20" s="2" t="s">
        <v>610</v>
      </c>
    </row>
    <row r="21" spans="1:19">
      <c r="K21" s="1" t="s">
        <v>184</v>
      </c>
      <c r="L21" s="1"/>
      <c r="M21" s="22" t="e">
        <f>M16-C16</f>
        <v>#N/A</v>
      </c>
      <c r="N21" s="22" t="e">
        <f>N16-D16</f>
        <v>#N/A</v>
      </c>
      <c r="O21" s="22" t="e">
        <f t="shared" ref="O21:S21" si="17">O16-E16</f>
        <v>#N/A</v>
      </c>
      <c r="P21" s="22" t="e">
        <f t="shared" si="17"/>
        <v>#N/A</v>
      </c>
      <c r="Q21" s="22" t="e">
        <f t="shared" si="17"/>
        <v>#N/A</v>
      </c>
      <c r="R21" s="22" t="e">
        <f t="shared" si="17"/>
        <v>#N/A</v>
      </c>
      <c r="S21" s="22" t="e">
        <f t="shared" si="17"/>
        <v>#N/A</v>
      </c>
    </row>
    <row r="22" spans="1:19">
      <c r="K22" s="1" t="s">
        <v>183</v>
      </c>
      <c r="L22" s="1"/>
      <c r="M22" s="22" t="e">
        <f t="shared" ref="M22:M23" si="18">M17-C17</f>
        <v>#N/A</v>
      </c>
      <c r="N22" s="22" t="e">
        <f t="shared" ref="N22:N23" si="19">N17-D17</f>
        <v>#N/A</v>
      </c>
      <c r="O22" s="22" t="e">
        <f t="shared" ref="O22:O23" si="20">O17-E17</f>
        <v>#N/A</v>
      </c>
      <c r="P22" s="22" t="e">
        <f t="shared" ref="P22:P23" si="21">P17-F17</f>
        <v>#N/A</v>
      </c>
      <c r="Q22" s="22" t="e">
        <f t="shared" ref="Q22:Q23" si="22">Q17-G17</f>
        <v>#N/A</v>
      </c>
      <c r="R22" s="22" t="e">
        <f t="shared" ref="R22:R23" si="23">R17-H17</f>
        <v>#N/A</v>
      </c>
      <c r="S22" s="22" t="e">
        <f t="shared" ref="S22:S23" si="24">S17-I17</f>
        <v>#N/A</v>
      </c>
    </row>
    <row r="23" spans="1:19">
      <c r="K23" s="1" t="s">
        <v>476</v>
      </c>
      <c r="M23" s="22" t="e">
        <f t="shared" si="18"/>
        <v>#N/A</v>
      </c>
      <c r="N23" s="22" t="e">
        <f t="shared" si="19"/>
        <v>#N/A</v>
      </c>
      <c r="O23" s="22" t="e">
        <f t="shared" si="20"/>
        <v>#N/A</v>
      </c>
      <c r="P23" s="22" t="e">
        <f t="shared" si="21"/>
        <v>#N/A</v>
      </c>
      <c r="Q23" s="22" t="e">
        <f t="shared" si="22"/>
        <v>#N/A</v>
      </c>
      <c r="R23" s="22" t="e">
        <f t="shared" si="23"/>
        <v>#N/A</v>
      </c>
      <c r="S23" s="22" t="e">
        <f t="shared" si="24"/>
        <v>#N/A</v>
      </c>
    </row>
  </sheetData>
  <sheetProtection algorithmName="SHA-512" hashValue="ZRLXGAfHTmpuYXc/9k/6nou07aTG3YDqUAgL8CEDvRrx/Gv7bk6twQz2Uwl9GgIRVWtk1VBLtPw8i4vmGYX+wQ==" saltValue="G6aEurzR3nm/4T8JXbxN8Q==" spinCount="100000" sheet="1" objects="1" scenarios="1"/>
  <customSheetViews>
    <customSheetView guid="{C6E026A6-065F-4BC7-8A1C-5537BAE31A06}" state="hidden">
      <pageMargins left="0.7" right="0.7" top="0.75" bottom="0.75" header="0.3" footer="0.3"/>
      <pageSetup orientation="portrait" horizontalDpi="4294967293" verticalDpi="0" r:id="rId1"/>
    </customSheetView>
    <customSheetView guid="{C1E42E27-80DF-5D46-A74B-2BA4AA86045C}" state="hidden">
      <pageMargins left="0.7" right="0.7" top="0.75" bottom="0.75" header="0.3" footer="0.3"/>
      <pageSetup orientation="portrait" horizontalDpi="4294967293" verticalDpi="0" r:id="rId2"/>
    </customSheetView>
    <customSheetView guid="{487CB698-FD0E-4580-BCE5-B1F3904B4ADD}">
      <selection activeCell="L19" sqref="L19"/>
      <pageMargins left="0.7" right="0.7" top="0.75" bottom="0.75" header="0.3" footer="0.3"/>
    </customSheetView>
  </customSheetViews>
  <pageMargins left="0.7" right="0.7" top="0.75" bottom="0.75" header="0.3" footer="0.3"/>
  <pageSetup orientation="portrait" horizontalDpi="4294967293" verticalDpi="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C3" sqref="C3"/>
    </sheetView>
  </sheetViews>
  <sheetFormatPr defaultColWidth="8.85546875" defaultRowHeight="15"/>
  <cols>
    <col min="1" max="1" width="22.85546875" customWidth="1"/>
    <col min="2" max="2" width="18.140625" customWidth="1"/>
    <col min="3" max="9" width="13.140625" customWidth="1"/>
  </cols>
  <sheetData>
    <row r="1" spans="1:9" ht="20.25">
      <c r="A1" s="12" t="s">
        <v>180</v>
      </c>
      <c r="B1" s="1"/>
      <c r="C1" s="1"/>
      <c r="D1" s="1"/>
      <c r="E1" s="1"/>
      <c r="F1" s="1"/>
      <c r="G1" s="1"/>
      <c r="H1" s="1"/>
      <c r="I1" s="1"/>
    </row>
    <row r="2" spans="1:9">
      <c r="A2" s="1"/>
      <c r="B2" s="1" t="s">
        <v>9</v>
      </c>
      <c r="C2" s="2" t="s">
        <v>4</v>
      </c>
      <c r="D2" s="2" t="s">
        <v>58</v>
      </c>
      <c r="E2" s="2" t="s">
        <v>7</v>
      </c>
      <c r="F2" s="2" t="s">
        <v>59</v>
      </c>
      <c r="G2" s="2" t="s">
        <v>5</v>
      </c>
      <c r="H2" s="2" t="s">
        <v>12</v>
      </c>
      <c r="I2" s="2" t="s">
        <v>6</v>
      </c>
    </row>
    <row r="3" spans="1:9">
      <c r="A3" s="1" t="s">
        <v>195</v>
      </c>
      <c r="B3" s="1" t="s">
        <v>10</v>
      </c>
      <c r="C3" s="22">
        <f>IF(Input!$F$18="",VLOOKUP(Input!$C$6,DropDowns_LookUps!$A$28:$H$36,2,TRUE), Input!$F$18 )</f>
        <v>0</v>
      </c>
      <c r="D3" s="22">
        <f>IF(Input!$F$18="",VLOOKUP(Input!$C$6,DropDowns_LookUps!$A$28:$H$36,2,TRUE), Input!$F$18 )</f>
        <v>0</v>
      </c>
      <c r="E3" s="22">
        <f>IF(Input!$F$18="",VLOOKUP(Input!$C$6,DropDowns_LookUps!$A$28:$H$36,2,TRUE), Input!$E$18 )</f>
        <v>0</v>
      </c>
      <c r="F3" s="22">
        <f>IF(Input!$F$18="",VLOOKUP(Input!$C$6,DropDowns_LookUps!$A$28:$H$36,2,TRUE), Input!$E$18 )</f>
        <v>0</v>
      </c>
      <c r="G3" s="22">
        <f>IF(Input!$F$18="",VLOOKUP(Input!$C$6,DropDowns_LookUps!$A$28:$H$36,2,TRUE), Input!$E$18 )</f>
        <v>0</v>
      </c>
      <c r="H3" s="22">
        <f>IF(Input!$F$18="",VLOOKUP(Input!$C$6,DropDowns_LookUps!$A$28:$H$36,2,TRUE), Input!$E$18 )</f>
        <v>0</v>
      </c>
      <c r="I3" s="22">
        <f>IF(Input!$F$18="",VLOOKUP(Input!$C$6,DropDowns_LookUps!$A$28:$H$36,2,TRUE), Input!$E$18 )</f>
        <v>0</v>
      </c>
    </row>
    <row r="4" spans="1:9">
      <c r="A4" s="1" t="s">
        <v>31</v>
      </c>
      <c r="B4" s="1" t="s">
        <v>199</v>
      </c>
      <c r="C4" s="22">
        <f>IF(Input!$F$20="",VLOOKUP(Input!$C$6,DropDowns_LookUps!$A$28:$H$36,3,TRUE), Input!$F$20 )</f>
        <v>0</v>
      </c>
      <c r="D4" s="22">
        <f>IF(Input!$F$20="",VLOOKUP(Input!$C$6,DropDowns_LookUps!$A$28:$H$36,3,TRUE), Input!$F$20 )</f>
        <v>0</v>
      </c>
      <c r="E4" s="22" t="e">
        <f>IF(Input!$E$20="",VLOOKUP(Input!$C$6,DropDowns_LookUps!$A$28:$H$36,3,TRUE), Input!$E$20 )</f>
        <v>#N/A</v>
      </c>
      <c r="F4" s="22" t="e">
        <f>IF(Input!$E$20="",VLOOKUP(Input!$C$6,DropDowns_LookUps!$A$28:$H$36,4,TRUE), Input!$E$20 )</f>
        <v>#N/A</v>
      </c>
      <c r="G4" s="22" t="e">
        <f>IF(Input!$E$20="",VLOOKUP(Input!$C$6,DropDowns_LookUps!$A$28:$H$36,4,TRUE), Input!$E$20 )</f>
        <v>#N/A</v>
      </c>
      <c r="H4" s="22" t="e">
        <f>IF(Input!$E$20="",VLOOKUP(Input!$C$6,DropDowns_LookUps!$A$28:$H$36,4,TRUE), Input!$E$20 )</f>
        <v>#N/A</v>
      </c>
      <c r="I4" s="22" t="e">
        <f>IF(Input!$E$20="",VLOOKUP(Input!$C$6,DropDowns_LookUps!$A$28:$H$36,4,TRUE), Input!$E$20 )</f>
        <v>#N/A</v>
      </c>
    </row>
    <row r="5" spans="1:9">
      <c r="A5" s="1" t="s">
        <v>198</v>
      </c>
      <c r="B5" s="1" t="s">
        <v>10</v>
      </c>
      <c r="C5" s="5" t="e">
        <f>VLOOKUP(Input!$C$14,DropDowns_LookUps!$A$52:$C$54,3,TRUE)</f>
        <v>#N/A</v>
      </c>
      <c r="D5" s="5" t="e">
        <f>VLOOKUP(Input!$C$14,DropDowns_LookUps!$A$52:$C$54,3,TRUE)</f>
        <v>#N/A</v>
      </c>
      <c r="E5" s="5" t="e">
        <f>VLOOKUP(Input!$C$14,DropDowns_LookUps!$A$52:$C$54,3,TRUE)</f>
        <v>#N/A</v>
      </c>
      <c r="F5" s="5" t="e">
        <f>VLOOKUP(Input!$C$14,DropDowns_LookUps!$A$52:$C$54,3,TRUE)</f>
        <v>#N/A</v>
      </c>
      <c r="G5" s="5" t="e">
        <f>VLOOKUP(Input!$C$14,DropDowns_LookUps!$A$52:$C$54,3,TRUE)</f>
        <v>#N/A</v>
      </c>
      <c r="H5" s="5" t="e">
        <f>VLOOKUP(Input!$C$14,DropDowns_LookUps!$A$52:$C$54,3,TRUE)</f>
        <v>#N/A</v>
      </c>
      <c r="I5" s="5" t="e">
        <f>VLOOKUP(Input!$C$14,DropDowns_LookUps!$A$52:$C$54,3,TRUE)</f>
        <v>#N/A</v>
      </c>
    </row>
    <row r="6" spans="1:9">
      <c r="A6" s="1" t="s">
        <v>203</v>
      </c>
      <c r="B6" s="1" t="s">
        <v>204</v>
      </c>
      <c r="C6" s="4" t="e">
        <f>TonnageImpacts!C13</f>
        <v>#N/A</v>
      </c>
      <c r="D6" s="4" t="e">
        <f>TonnageImpacts!D13</f>
        <v>#N/A</v>
      </c>
      <c r="E6" s="4" t="e">
        <f>TonnageImpacts!E13</f>
        <v>#N/A</v>
      </c>
      <c r="F6" s="4" t="e">
        <f>TonnageImpacts!F13</f>
        <v>#N/A</v>
      </c>
      <c r="G6" s="4" t="e">
        <f>TonnageImpacts!G13</f>
        <v>#N/A</v>
      </c>
      <c r="H6" s="4" t="e">
        <f>TonnageImpacts!H13</f>
        <v>#N/A</v>
      </c>
      <c r="I6" s="4" t="e">
        <f>TonnageImpacts!I13</f>
        <v>#N/A</v>
      </c>
    </row>
    <row r="7" spans="1:9">
      <c r="A7" s="1" t="s">
        <v>613</v>
      </c>
      <c r="B7" s="1"/>
      <c r="C7" s="10">
        <v>0.05</v>
      </c>
      <c r="D7" s="10">
        <v>0.05</v>
      </c>
      <c r="E7" s="10">
        <v>0.05</v>
      </c>
      <c r="F7" s="10">
        <v>0.05</v>
      </c>
      <c r="G7" s="10">
        <v>0.05</v>
      </c>
      <c r="H7" s="10">
        <v>0.1</v>
      </c>
      <c r="I7" s="10">
        <v>0.1</v>
      </c>
    </row>
    <row r="8" spans="1:9">
      <c r="A8" s="1" t="s">
        <v>614</v>
      </c>
      <c r="B8" s="1"/>
      <c r="C8" s="4" t="e">
        <f>C6*C7</f>
        <v>#N/A</v>
      </c>
      <c r="D8" s="4" t="e">
        <f t="shared" ref="D8:I8" si="0">D6*D7</f>
        <v>#N/A</v>
      </c>
      <c r="E8" s="4" t="e">
        <f t="shared" si="0"/>
        <v>#N/A</v>
      </c>
      <c r="F8" s="4" t="e">
        <f t="shared" si="0"/>
        <v>#N/A</v>
      </c>
      <c r="G8" s="4" t="e">
        <f t="shared" si="0"/>
        <v>#N/A</v>
      </c>
      <c r="H8" s="4" t="e">
        <f t="shared" si="0"/>
        <v>#N/A</v>
      </c>
      <c r="I8" s="4" t="e">
        <f t="shared" si="0"/>
        <v>#N/A</v>
      </c>
    </row>
    <row r="9" spans="1:9">
      <c r="A9" s="1" t="s">
        <v>512</v>
      </c>
      <c r="B9" s="1"/>
      <c r="C9" s="4"/>
      <c r="D9" s="4">
        <f>AssumptionTables!C37</f>
        <v>30</v>
      </c>
      <c r="E9" s="4">
        <f>AssumptionTables!C37</f>
        <v>30</v>
      </c>
      <c r="F9" s="4" t="e">
        <f>VLOOKUP(Input!$C$16,DropDowns_LookUps!$A$39:$J$43,10, FALSE)</f>
        <v>#N/A</v>
      </c>
      <c r="G9" s="4" t="e">
        <f>VLOOKUP(Input!$C$16,DropDowns_LookUps!$A$39:$J$43,10, FALSE)</f>
        <v>#N/A</v>
      </c>
      <c r="H9" s="4" t="e">
        <f>VLOOKUP(Input!$C$16,DropDowns_LookUps!$A$39:$J$43,10, FALSE)</f>
        <v>#N/A</v>
      </c>
      <c r="I9" s="4" t="e">
        <f>VLOOKUP(Input!$C$16,DropDowns_LookUps!$A$39:$J$43,10, FALSE)</f>
        <v>#N/A</v>
      </c>
    </row>
    <row r="10" spans="1:9">
      <c r="A10" s="1" t="s">
        <v>205</v>
      </c>
      <c r="B10" s="1" t="s">
        <v>11</v>
      </c>
      <c r="C10" s="7" t="e">
        <f>TruckCosts!$D$9*AssumptionTables!$C$37*260</f>
        <v>#N/A</v>
      </c>
      <c r="D10" s="7" t="e">
        <f>TruckCosts!$D$9*D9*260</f>
        <v>#N/A</v>
      </c>
      <c r="E10" s="7" t="e">
        <f>TruckCosts!$D$9*E9*260</f>
        <v>#N/A</v>
      </c>
      <c r="F10" s="7" t="e">
        <f>TruckCosts!$D$9*F9*260</f>
        <v>#N/A</v>
      </c>
      <c r="G10" s="7" t="e">
        <f>TruckCosts!$D$9*G9*260</f>
        <v>#N/A</v>
      </c>
      <c r="H10" s="7" t="e">
        <f>TruckCosts!$D$9*H9*260</f>
        <v>#N/A</v>
      </c>
      <c r="I10" s="7" t="e">
        <f>TruckCosts!$D$9*I9*260</f>
        <v>#N/A</v>
      </c>
    </row>
    <row r="11" spans="1:9">
      <c r="A11" s="1" t="s">
        <v>212</v>
      </c>
      <c r="B11" s="1" t="s">
        <v>11</v>
      </c>
      <c r="C11" s="14" t="e">
        <f>(C10/AssumptionTables!$C$40)*AssumptionTables!$C$39</f>
        <v>#N/A</v>
      </c>
      <c r="D11" s="14" t="e">
        <f>(D10/AssumptionTables!$C$40)*AssumptionTables!$C$39</f>
        <v>#N/A</v>
      </c>
      <c r="E11" s="14" t="e">
        <f>(E10/AssumptionTables!$C$40)*AssumptionTables!$C$39</f>
        <v>#N/A</v>
      </c>
      <c r="F11" s="14" t="e">
        <f>(F10/AssumptionTables!$C$40)*AssumptionTables!$C$39</f>
        <v>#N/A</v>
      </c>
      <c r="G11" s="14" t="e">
        <f>(G10/AssumptionTables!$C$40)*AssumptionTables!$C$39</f>
        <v>#N/A</v>
      </c>
      <c r="H11" s="14" t="e">
        <f>(H10/AssumptionTables!$C$40)*AssumptionTables!$C$39</f>
        <v>#N/A</v>
      </c>
      <c r="I11" s="14" t="e">
        <f>(I10/AssumptionTables!$C$40)*AssumptionTables!$C$39</f>
        <v>#N/A</v>
      </c>
    </row>
    <row r="12" spans="1:9">
      <c r="A12" s="1" t="s">
        <v>519</v>
      </c>
      <c r="B12" s="1" t="s">
        <v>11</v>
      </c>
      <c r="C12" s="14" t="e">
        <f>C11</f>
        <v>#N/A</v>
      </c>
      <c r="D12" s="14" t="e">
        <f t="shared" ref="D12:I12" si="1">D11</f>
        <v>#N/A</v>
      </c>
      <c r="E12" s="14" t="e">
        <f t="shared" si="1"/>
        <v>#N/A</v>
      </c>
      <c r="F12" s="14" t="e">
        <f t="shared" si="1"/>
        <v>#N/A</v>
      </c>
      <c r="G12" s="14" t="e">
        <f t="shared" si="1"/>
        <v>#N/A</v>
      </c>
      <c r="H12" s="14" t="e">
        <f t="shared" si="1"/>
        <v>#N/A</v>
      </c>
      <c r="I12" s="14" t="e">
        <f t="shared" si="1"/>
        <v>#N/A</v>
      </c>
    </row>
    <row r="13" spans="1:9">
      <c r="A13" s="1" t="s">
        <v>213</v>
      </c>
      <c r="B13" s="1" t="s">
        <v>11</v>
      </c>
      <c r="C13" s="21" t="e">
        <f>(C3+C4)*(-1)*C6</f>
        <v>#N/A</v>
      </c>
      <c r="D13" s="21" t="e">
        <f>(D3+D4)*(-1)*D6</f>
        <v>#N/A</v>
      </c>
      <c r="E13" s="21" t="e">
        <f>(E3+E4)*(-1)*E6</f>
        <v>#N/A</v>
      </c>
      <c r="F13" s="21" t="e">
        <f t="shared" ref="F13:I13" si="2">(F3+F4)*(-1)*F6</f>
        <v>#N/A</v>
      </c>
      <c r="G13" s="21" t="e">
        <f t="shared" si="2"/>
        <v>#N/A</v>
      </c>
      <c r="H13" s="21" t="e">
        <f t="shared" si="2"/>
        <v>#N/A</v>
      </c>
      <c r="I13" s="21" t="e">
        <f t="shared" si="2"/>
        <v>#N/A</v>
      </c>
    </row>
    <row r="14" spans="1:9">
      <c r="A14" s="1"/>
      <c r="B14" s="1"/>
      <c r="C14" s="1"/>
      <c r="D14" s="1"/>
      <c r="E14" s="1"/>
      <c r="F14" s="1"/>
      <c r="G14" s="1"/>
      <c r="H14" s="1"/>
      <c r="I14" s="1"/>
    </row>
    <row r="15" spans="1:9">
      <c r="A15" s="2" t="s">
        <v>14</v>
      </c>
      <c r="B15" s="1"/>
      <c r="C15" s="1"/>
      <c r="D15" s="1"/>
      <c r="E15" s="1"/>
      <c r="F15" s="1"/>
      <c r="G15" s="1"/>
      <c r="H15" s="1"/>
      <c r="I15" s="1"/>
    </row>
    <row r="16" spans="1:9">
      <c r="A16" s="1" t="s">
        <v>490</v>
      </c>
      <c r="B16" s="1" t="s">
        <v>11</v>
      </c>
      <c r="C16" s="22" t="e">
        <f>C13-C12</f>
        <v>#N/A</v>
      </c>
      <c r="D16" s="22" t="e">
        <f t="shared" ref="D16:I16" si="3">D13-D12</f>
        <v>#N/A</v>
      </c>
      <c r="E16" s="22" t="e">
        <f t="shared" si="3"/>
        <v>#N/A</v>
      </c>
      <c r="F16" s="22" t="e">
        <f t="shared" si="3"/>
        <v>#N/A</v>
      </c>
      <c r="G16" s="22" t="e">
        <f t="shared" si="3"/>
        <v>#N/A</v>
      </c>
      <c r="H16" s="22" t="e">
        <f t="shared" si="3"/>
        <v>#N/A</v>
      </c>
      <c r="I16" s="22" t="e">
        <f t="shared" si="3"/>
        <v>#N/A</v>
      </c>
    </row>
    <row r="17" spans="1:9">
      <c r="A17" s="1"/>
      <c r="B17" s="1"/>
      <c r="C17" s="3"/>
      <c r="D17" s="22"/>
      <c r="E17" s="22"/>
      <c r="F17" s="22"/>
      <c r="G17" s="22"/>
      <c r="H17" s="22"/>
      <c r="I17" s="22"/>
    </row>
    <row r="18" spans="1:9">
      <c r="A18" s="1"/>
      <c r="B18" s="1"/>
      <c r="C18" s="3"/>
      <c r="D18" s="22"/>
      <c r="E18" s="22"/>
      <c r="F18" s="22"/>
      <c r="G18" s="22"/>
      <c r="H18" s="22"/>
      <c r="I18" s="22"/>
    </row>
    <row r="19" spans="1:9">
      <c r="A19" s="1"/>
      <c r="B19" s="1"/>
      <c r="C19" s="3"/>
      <c r="D19" s="22"/>
      <c r="E19" s="22"/>
      <c r="F19" s="22"/>
      <c r="G19" s="22"/>
      <c r="H19" s="22"/>
      <c r="I19" s="22"/>
    </row>
    <row r="20" spans="1:9">
      <c r="B20" s="96"/>
    </row>
    <row r="21" spans="1:9">
      <c r="B21" s="6"/>
    </row>
    <row r="22" spans="1:9">
      <c r="B22" s="6"/>
    </row>
    <row r="23" spans="1:9">
      <c r="B23" s="97"/>
    </row>
    <row r="24" spans="1:9">
      <c r="B24" s="6"/>
    </row>
  </sheetData>
  <customSheetViews>
    <customSheetView guid="{C6E026A6-065F-4BC7-8A1C-5537BAE31A06}" state="hidden">
      <pageMargins left="0.7" right="0.7" top="0.75" bottom="0.75" header="0.3" footer="0.3"/>
    </customSheetView>
    <customSheetView guid="{C1E42E27-80DF-5D46-A74B-2BA4AA86045C}" state="hidden">
      <pageMargins left="0.7" right="0.7" top="0.75" bottom="0.75" header="0.3" footer="0.3"/>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workbookViewId="0">
      <pane xSplit="1" ySplit="1" topLeftCell="B51" activePane="bottomRight" state="frozen"/>
      <selection pane="topRight" activeCell="B1" sqref="B1"/>
      <selection pane="bottomLeft" activeCell="A2" sqref="A2"/>
      <selection pane="bottomRight" activeCell="D81" sqref="D81"/>
    </sheetView>
  </sheetViews>
  <sheetFormatPr defaultColWidth="8.85546875" defaultRowHeight="15"/>
  <cols>
    <col min="1" max="1" width="46.85546875" customWidth="1"/>
    <col min="2" max="2" width="17.85546875" customWidth="1"/>
    <col min="3" max="3" width="19.85546875" customWidth="1"/>
    <col min="4" max="4" width="19.140625" customWidth="1"/>
    <col min="5" max="5" width="17.140625" customWidth="1"/>
    <col min="6" max="6" width="15.85546875" customWidth="1"/>
    <col min="7" max="7" width="19.140625" customWidth="1"/>
    <col min="8" max="8" width="17.140625" customWidth="1"/>
    <col min="11" max="11" width="8.140625" customWidth="1"/>
  </cols>
  <sheetData>
    <row r="1" spans="1:8" ht="36.75" thickBot="1">
      <c r="A1" s="68" t="s">
        <v>333</v>
      </c>
      <c r="B1" s="320" t="s">
        <v>528</v>
      </c>
      <c r="C1" s="321" t="s">
        <v>464</v>
      </c>
      <c r="D1" s="322" t="s">
        <v>465</v>
      </c>
      <c r="E1" s="321" t="s">
        <v>466</v>
      </c>
      <c r="F1" s="322" t="s">
        <v>467</v>
      </c>
      <c r="G1" s="321" t="s">
        <v>477</v>
      </c>
      <c r="H1" s="322" t="s">
        <v>468</v>
      </c>
    </row>
    <row r="2" spans="1:8" s="42" customFormat="1">
      <c r="A2" s="43" t="s">
        <v>8</v>
      </c>
      <c r="B2" s="69">
        <f>TonnageImpacts!C4</f>
        <v>0</v>
      </c>
      <c r="C2" s="69">
        <f>TonnageImpacts!D4</f>
        <v>0</v>
      </c>
      <c r="D2" s="69">
        <f>TonnageImpacts!E4</f>
        <v>0</v>
      </c>
      <c r="E2" s="69">
        <f>TonnageImpacts!F4</f>
        <v>0</v>
      </c>
      <c r="F2" s="69">
        <f>TonnageImpacts!G4</f>
        <v>0</v>
      </c>
      <c r="G2" s="69">
        <f>TonnageImpacts!H4</f>
        <v>0</v>
      </c>
      <c r="H2" s="69">
        <f>TonnageImpacts!I4</f>
        <v>0</v>
      </c>
    </row>
    <row r="3" spans="1:8">
      <c r="A3" s="32" t="s">
        <v>406</v>
      </c>
      <c r="B3" s="70" t="e">
        <f>TonnageImpacts!C13</f>
        <v>#N/A</v>
      </c>
      <c r="C3" s="70" t="e">
        <f>TonnageImpacts!D13</f>
        <v>#N/A</v>
      </c>
      <c r="D3" s="70" t="e">
        <f>TonnageImpacts!E13</f>
        <v>#N/A</v>
      </c>
      <c r="E3" s="70" t="e">
        <f>TonnageImpacts!F13</f>
        <v>#N/A</v>
      </c>
      <c r="F3" s="70" t="e">
        <f>TonnageImpacts!G13</f>
        <v>#N/A</v>
      </c>
      <c r="G3" s="70" t="e">
        <f>TonnageImpacts!H13</f>
        <v>#N/A</v>
      </c>
      <c r="H3" s="70" t="e">
        <f>TonnageImpacts!I13</f>
        <v>#N/A</v>
      </c>
    </row>
    <row r="4" spans="1:8">
      <c r="A4" s="1" t="s">
        <v>613</v>
      </c>
      <c r="B4" s="10">
        <v>0.05</v>
      </c>
      <c r="C4" s="10">
        <v>0.05</v>
      </c>
      <c r="D4" s="10">
        <v>0.05</v>
      </c>
      <c r="E4" s="10">
        <v>0.05</v>
      </c>
      <c r="F4" s="10">
        <v>0.05</v>
      </c>
      <c r="G4" s="10">
        <v>0.1</v>
      </c>
      <c r="H4" s="10">
        <v>0.1</v>
      </c>
    </row>
    <row r="5" spans="1:8">
      <c r="A5" s="1" t="s">
        <v>614</v>
      </c>
      <c r="B5" s="4" t="e">
        <f>B3*B4</f>
        <v>#N/A</v>
      </c>
      <c r="C5" s="4" t="e">
        <f t="shared" ref="C5:H5" si="0">C3*C4</f>
        <v>#N/A</v>
      </c>
      <c r="D5" s="4" t="e">
        <f t="shared" si="0"/>
        <v>#N/A</v>
      </c>
      <c r="E5" s="4" t="e">
        <f t="shared" si="0"/>
        <v>#N/A</v>
      </c>
      <c r="F5" s="4" t="e">
        <f t="shared" si="0"/>
        <v>#N/A</v>
      </c>
      <c r="G5" s="4" t="e">
        <f t="shared" si="0"/>
        <v>#N/A</v>
      </c>
      <c r="H5" s="4" t="e">
        <f t="shared" si="0"/>
        <v>#N/A</v>
      </c>
    </row>
    <row r="6" spans="1:8">
      <c r="A6" s="32" t="s">
        <v>346</v>
      </c>
      <c r="B6" s="71" t="e">
        <f t="shared" ref="B6" si="1">B3/Load_Limit_Rolloff</f>
        <v>#N/A</v>
      </c>
      <c r="C6" s="71" t="e">
        <f t="shared" ref="C6:H6" si="2">C3/Load_Limit_Rolloff</f>
        <v>#N/A</v>
      </c>
      <c r="D6" s="71" t="e">
        <f t="shared" si="2"/>
        <v>#N/A</v>
      </c>
      <c r="E6" s="71" t="e">
        <f t="shared" si="2"/>
        <v>#N/A</v>
      </c>
      <c r="F6" s="71" t="e">
        <f t="shared" si="2"/>
        <v>#N/A</v>
      </c>
      <c r="G6" s="71" t="e">
        <f t="shared" si="2"/>
        <v>#N/A</v>
      </c>
      <c r="H6" s="71" t="e">
        <f t="shared" si="2"/>
        <v>#N/A</v>
      </c>
    </row>
    <row r="7" spans="1:8">
      <c r="A7" s="32" t="s">
        <v>407</v>
      </c>
      <c r="B7" s="59" t="e">
        <f t="shared" ref="B7" si="3">ROUNDUP(B6/Workdays_per_Year,1)</f>
        <v>#N/A</v>
      </c>
      <c r="C7" s="59" t="e">
        <f t="shared" ref="C7:H7" si="4">ROUNDUP(C6/Workdays_per_Year,1)</f>
        <v>#N/A</v>
      </c>
      <c r="D7" s="59" t="e">
        <f t="shared" si="4"/>
        <v>#N/A</v>
      </c>
      <c r="E7" s="59" t="e">
        <f t="shared" si="4"/>
        <v>#N/A</v>
      </c>
      <c r="F7" s="59" t="e">
        <f t="shared" si="4"/>
        <v>#N/A</v>
      </c>
      <c r="G7" s="59" t="e">
        <f t="shared" si="4"/>
        <v>#N/A</v>
      </c>
      <c r="H7" s="59" t="e">
        <f t="shared" si="4"/>
        <v>#N/A</v>
      </c>
    </row>
    <row r="8" spans="1:8">
      <c r="A8" s="32" t="s">
        <v>507</v>
      </c>
      <c r="B8" s="59">
        <f>ROUNDUP(B2/Number_of_Hh_per_Drop_Off_site,0)</f>
        <v>0</v>
      </c>
      <c r="C8" s="59"/>
      <c r="D8" s="59"/>
      <c r="E8" s="59"/>
      <c r="F8" s="59"/>
      <c r="G8" s="59"/>
      <c r="H8" s="59"/>
    </row>
    <row r="9" spans="1:8">
      <c r="A9" s="33"/>
      <c r="B9" s="33"/>
      <c r="C9" s="33"/>
      <c r="D9" s="33"/>
      <c r="E9" s="33"/>
      <c r="F9" s="33"/>
      <c r="G9" s="33"/>
      <c r="H9" s="33"/>
    </row>
    <row r="10" spans="1:8">
      <c r="A10" s="58" t="s">
        <v>446</v>
      </c>
      <c r="B10" s="59"/>
      <c r="C10" s="59"/>
      <c r="D10" s="59"/>
      <c r="E10" s="59"/>
      <c r="F10" s="59"/>
      <c r="G10" s="59"/>
      <c r="H10" s="59"/>
    </row>
    <row r="11" spans="1:8">
      <c r="A11" s="34" t="s">
        <v>286</v>
      </c>
      <c r="B11" s="59"/>
      <c r="C11" s="59"/>
      <c r="D11" s="59"/>
      <c r="E11" s="59"/>
      <c r="F11" s="59"/>
      <c r="G11" s="59"/>
      <c r="H11" s="59"/>
    </row>
    <row r="12" spans="1:8">
      <c r="A12" s="35" t="s">
        <v>349</v>
      </c>
      <c r="B12" s="36" t="e">
        <f>IF(B3&lt;=5000,'Transfer MRF Assumptions'!$E$102,IF(B3&lt;=20000,'Transfer MRF Assumptions'!$F$102,'Transfer MRF Assumptions'!$G$102))</f>
        <v>#N/A</v>
      </c>
      <c r="C12" s="36" t="e">
        <f>IF(C3&lt;=5000,'Transfer MRF Assumptions'!$E$102,IF(C3&lt;=20000,'Transfer MRF Assumptions'!$F$102,'Transfer MRF Assumptions'!$G$102))</f>
        <v>#N/A</v>
      </c>
      <c r="D12" s="36" t="e">
        <f>IF(D3&lt;=5000,'Transfer MRF Assumptions'!$E$102,IF(D3&lt;=20000,'Transfer MRF Assumptions'!$F$102,'Transfer MRF Assumptions'!$G$102))</f>
        <v>#N/A</v>
      </c>
      <c r="E12" s="36" t="e">
        <f>IF(E3&lt;=5000,'Transfer MRF Assumptions'!$E$102,IF(E3&lt;=20000,'Transfer MRF Assumptions'!$F$102,'Transfer MRF Assumptions'!$G$102))</f>
        <v>#N/A</v>
      </c>
      <c r="F12" s="36" t="e">
        <f>IF(F3&lt;=5000,'Transfer MRF Assumptions'!$E$102,IF(F3&lt;=20000,'Transfer MRF Assumptions'!$F$102,'Transfer MRF Assumptions'!$G$102))</f>
        <v>#N/A</v>
      </c>
      <c r="G12" s="36" t="e">
        <f>IF(G3&lt;=5000,'Transfer MRF Assumptions'!$E$102,IF(G3&lt;=20000,'Transfer MRF Assumptions'!$F$102,'Transfer MRF Assumptions'!$G$102))</f>
        <v>#N/A</v>
      </c>
      <c r="H12" s="36" t="e">
        <f>IF(H3&lt;=5000,'Transfer MRF Assumptions'!$E$102,IF(H3&lt;=20000,'Transfer MRF Assumptions'!$F$102,'Transfer MRF Assumptions'!$G$102))</f>
        <v>#N/A</v>
      </c>
    </row>
    <row r="13" spans="1:8">
      <c r="A13" s="35" t="s">
        <v>350</v>
      </c>
      <c r="B13" s="36"/>
      <c r="C13" s="36"/>
      <c r="D13" s="36"/>
      <c r="E13" s="36"/>
      <c r="F13" s="36"/>
      <c r="G13" s="36"/>
      <c r="H13" s="36"/>
    </row>
    <row r="14" spans="1:8">
      <c r="A14" s="37" t="s">
        <v>351</v>
      </c>
      <c r="B14" s="36"/>
      <c r="C14" s="36"/>
      <c r="D14" s="36"/>
      <c r="E14" s="36"/>
      <c r="F14" s="36"/>
      <c r="G14" s="36"/>
      <c r="H14" s="36"/>
    </row>
    <row r="15" spans="1:8">
      <c r="A15" s="37" t="s">
        <v>352</v>
      </c>
      <c r="B15" s="36"/>
      <c r="C15" s="36"/>
      <c r="D15" s="36"/>
      <c r="E15" s="36"/>
      <c r="F15" s="36"/>
      <c r="G15" s="36"/>
      <c r="H15" s="36"/>
    </row>
    <row r="16" spans="1:8">
      <c r="A16" s="72" t="s">
        <v>353</v>
      </c>
      <c r="B16" s="81" t="e">
        <f t="shared" ref="B16" si="5">SUM(B12:B15)*(1+ Equipment_Sensitivity)</f>
        <v>#N/A</v>
      </c>
      <c r="C16" s="82" t="e">
        <f t="shared" ref="C16:H16" si="6">SUM(C12:C15)*(1+ Equipment_Sensitivity)</f>
        <v>#N/A</v>
      </c>
      <c r="D16" s="82" t="e">
        <f t="shared" si="6"/>
        <v>#N/A</v>
      </c>
      <c r="E16" s="82" t="e">
        <f t="shared" si="6"/>
        <v>#N/A</v>
      </c>
      <c r="F16" s="82" t="e">
        <f t="shared" si="6"/>
        <v>#N/A</v>
      </c>
      <c r="G16" s="82" t="e">
        <f t="shared" si="6"/>
        <v>#N/A</v>
      </c>
      <c r="H16" s="82" t="e">
        <f t="shared" si="6"/>
        <v>#N/A</v>
      </c>
    </row>
    <row r="17" spans="1:8">
      <c r="A17" s="73" t="s">
        <v>287</v>
      </c>
      <c r="B17" s="83"/>
      <c r="C17" s="59"/>
      <c r="D17" s="59"/>
      <c r="E17" s="59"/>
      <c r="F17" s="59"/>
      <c r="G17" s="59"/>
      <c r="H17" s="59"/>
    </row>
    <row r="18" spans="1:8">
      <c r="A18" s="74" t="s">
        <v>354</v>
      </c>
      <c r="B18" s="56" t="e">
        <f>IF(B3&lt;=5000,Skidsteer,IF(B3&lt;=20000,Skidsteer,Skidsteer))</f>
        <v>#N/A</v>
      </c>
      <c r="C18" s="38" t="e">
        <f t="shared" ref="C18:H18" si="7">IF(C3&lt;=5000,Skidsteer,IF(C3&lt;=20000,LLoader+Yard_Mule,2*LLoader+Yard_Mule))</f>
        <v>#N/A</v>
      </c>
      <c r="D18" s="38" t="e">
        <f t="shared" si="7"/>
        <v>#N/A</v>
      </c>
      <c r="E18" s="38" t="e">
        <f t="shared" si="7"/>
        <v>#N/A</v>
      </c>
      <c r="F18" s="38" t="e">
        <f t="shared" si="7"/>
        <v>#N/A</v>
      </c>
      <c r="G18" s="38" t="e">
        <f t="shared" si="7"/>
        <v>#N/A</v>
      </c>
      <c r="H18" s="38" t="e">
        <f t="shared" si="7"/>
        <v>#N/A</v>
      </c>
    </row>
    <row r="19" spans="1:8">
      <c r="A19" s="74" t="s">
        <v>355</v>
      </c>
      <c r="B19" s="56"/>
      <c r="C19" s="38"/>
      <c r="D19" s="38"/>
      <c r="E19" s="38"/>
      <c r="F19" s="38"/>
      <c r="G19" s="38"/>
      <c r="H19" s="38"/>
    </row>
    <row r="20" spans="1:8">
      <c r="A20" s="72" t="s">
        <v>287</v>
      </c>
      <c r="B20" s="83" t="e">
        <f t="shared" ref="B20" si="8">SUM(B18:B19)*(1+Rolling_Stock_Sensitivity)</f>
        <v>#N/A</v>
      </c>
      <c r="C20" s="84" t="e">
        <f t="shared" ref="C20:H20" si="9">SUM(C18:C19)*(1+Rolling_Stock_Sensitivity)</f>
        <v>#N/A</v>
      </c>
      <c r="D20" s="84" t="e">
        <f t="shared" si="9"/>
        <v>#N/A</v>
      </c>
      <c r="E20" s="84" t="e">
        <f t="shared" si="9"/>
        <v>#N/A</v>
      </c>
      <c r="F20" s="84" t="e">
        <f t="shared" si="9"/>
        <v>#N/A</v>
      </c>
      <c r="G20" s="84" t="e">
        <f t="shared" si="9"/>
        <v>#N/A</v>
      </c>
      <c r="H20" s="84" t="e">
        <f t="shared" si="9"/>
        <v>#N/A</v>
      </c>
    </row>
    <row r="21" spans="1:8">
      <c r="A21" s="73" t="s">
        <v>356</v>
      </c>
      <c r="B21" s="85"/>
      <c r="C21" s="85"/>
      <c r="D21" s="59"/>
      <c r="E21" s="59"/>
      <c r="F21" s="59"/>
      <c r="G21" s="59"/>
      <c r="H21" s="59"/>
    </row>
    <row r="22" spans="1:8">
      <c r="A22" s="72" t="s">
        <v>357</v>
      </c>
      <c r="B22" s="85">
        <v>2</v>
      </c>
      <c r="C22" s="85">
        <v>2</v>
      </c>
      <c r="D22" s="85">
        <v>2</v>
      </c>
      <c r="E22" s="85">
        <v>2</v>
      </c>
      <c r="F22" s="85">
        <v>2</v>
      </c>
      <c r="G22" s="85">
        <v>2</v>
      </c>
      <c r="H22" s="85">
        <v>2</v>
      </c>
    </row>
    <row r="23" spans="1:8">
      <c r="A23" s="72" t="s">
        <v>358</v>
      </c>
      <c r="B23" s="39" t="e">
        <f>IF(B3&lt;=5000,'Transfer MRF Assumptions'!$E$113,IF(B3&lt;=20000,'Transfer MRF Assumptions'!$F$113,'Transfer MRF Assumptions'!$G$113))</f>
        <v>#N/A</v>
      </c>
      <c r="C23" s="39" t="e">
        <f>IF(C3&lt;=5000,'Transfer MRF Assumptions'!$E$113,IF(C3&lt;=20000,'Transfer MRF Assumptions'!$F$113,'Transfer MRF Assumptions'!$G$113))</f>
        <v>#N/A</v>
      </c>
      <c r="D23" s="39" t="e">
        <f>IF(D3&lt;=5000,'Transfer MRF Assumptions'!$E$113,IF(D3&lt;=20000,'Transfer MRF Assumptions'!$F$113,'Transfer MRF Assumptions'!$G$113))</f>
        <v>#N/A</v>
      </c>
      <c r="E23" s="39" t="e">
        <f>IF(E3&lt;=5000,'Transfer MRF Assumptions'!$E$113,IF(E3&lt;=20000,'Transfer MRF Assumptions'!$F$113,'Transfer MRF Assumptions'!$G$113))</f>
        <v>#N/A</v>
      </c>
      <c r="F23" s="39" t="e">
        <f>IF(F3&lt;=5000,'Transfer MRF Assumptions'!$E$113,IF(F3&lt;=20000,'Transfer MRF Assumptions'!$F$113,'Transfer MRF Assumptions'!$G$113))</f>
        <v>#N/A</v>
      </c>
      <c r="G23" s="39" t="e">
        <f>IF(G3&lt;=5000,'Transfer MRF Assumptions'!$E$113,IF(G3&lt;=20000,'Transfer MRF Assumptions'!$F$113,'Transfer MRF Assumptions'!$G$113))</f>
        <v>#N/A</v>
      </c>
      <c r="H23" s="39" t="e">
        <f>IF(H3&lt;=5000,'Transfer MRF Assumptions'!$E$113,IF(H3&lt;=20000,'Transfer MRF Assumptions'!$F$113,'Transfer MRF Assumptions'!$G$113))</f>
        <v>#N/A</v>
      </c>
    </row>
    <row r="24" spans="1:8">
      <c r="A24" s="75" t="s">
        <v>359</v>
      </c>
      <c r="B24" s="83">
        <f t="shared" ref="B24:H24" si="10">Transfer_Cost_per__sq_feet</f>
        <v>125</v>
      </c>
      <c r="C24" s="83">
        <f t="shared" si="10"/>
        <v>125</v>
      </c>
      <c r="D24" s="83">
        <f t="shared" si="10"/>
        <v>125</v>
      </c>
      <c r="E24" s="83">
        <f t="shared" si="10"/>
        <v>125</v>
      </c>
      <c r="F24" s="83">
        <f t="shared" si="10"/>
        <v>125</v>
      </c>
      <c r="G24" s="83">
        <f t="shared" si="10"/>
        <v>125</v>
      </c>
      <c r="H24" s="83">
        <f t="shared" si="10"/>
        <v>125</v>
      </c>
    </row>
    <row r="25" spans="1:8">
      <c r="A25" s="75" t="s">
        <v>284</v>
      </c>
      <c r="B25" s="83" t="e">
        <f>B23*B24</f>
        <v>#N/A</v>
      </c>
      <c r="C25" s="83" t="e">
        <f>C23*C24</f>
        <v>#N/A</v>
      </c>
      <c r="D25" s="83" t="e">
        <f t="shared" ref="D25:H25" si="11">D23*D24</f>
        <v>#N/A</v>
      </c>
      <c r="E25" s="83" t="e">
        <f t="shared" si="11"/>
        <v>#N/A</v>
      </c>
      <c r="F25" s="83" t="e">
        <f t="shared" si="11"/>
        <v>#N/A</v>
      </c>
      <c r="G25" s="83" t="e">
        <f t="shared" si="11"/>
        <v>#N/A</v>
      </c>
      <c r="H25" s="83" t="e">
        <f t="shared" si="11"/>
        <v>#N/A</v>
      </c>
    </row>
    <row r="26" spans="1:8">
      <c r="A26" s="76" t="s">
        <v>360</v>
      </c>
      <c r="B26" s="84">
        <f t="shared" ref="B26" si="12">Land_Cost_per_acre*B22*(1+Land_Cost_Sensitivity)</f>
        <v>0</v>
      </c>
      <c r="C26" s="84">
        <f t="shared" ref="C26:H26" si="13">Land_Cost_per_acre*C22*(1+Land_Cost_Sensitivity)</f>
        <v>0</v>
      </c>
      <c r="D26" s="84">
        <f t="shared" si="13"/>
        <v>0</v>
      </c>
      <c r="E26" s="84">
        <f t="shared" si="13"/>
        <v>0</v>
      </c>
      <c r="F26" s="84">
        <f t="shared" si="13"/>
        <v>0</v>
      </c>
      <c r="G26" s="84">
        <f t="shared" si="13"/>
        <v>0</v>
      </c>
      <c r="H26" s="84">
        <f t="shared" si="13"/>
        <v>0</v>
      </c>
    </row>
    <row r="27" spans="1:8">
      <c r="A27" s="77" t="s">
        <v>408</v>
      </c>
      <c r="B27" s="83" t="e">
        <f>SUM(B25:B26)</f>
        <v>#N/A</v>
      </c>
      <c r="C27" s="83" t="e">
        <f>SUM(C25:C26)</f>
        <v>#N/A</v>
      </c>
      <c r="D27" s="83" t="e">
        <f t="shared" ref="D27:H27" si="14">SUM(D25:D26)</f>
        <v>#N/A</v>
      </c>
      <c r="E27" s="83" t="e">
        <f t="shared" si="14"/>
        <v>#N/A</v>
      </c>
      <c r="F27" s="83" t="e">
        <f t="shared" si="14"/>
        <v>#N/A</v>
      </c>
      <c r="G27" s="83" t="e">
        <f t="shared" si="14"/>
        <v>#N/A</v>
      </c>
      <c r="H27" s="83" t="e">
        <f t="shared" si="14"/>
        <v>#N/A</v>
      </c>
    </row>
    <row r="28" spans="1:8">
      <c r="A28" s="72"/>
      <c r="B28" s="85"/>
      <c r="C28" s="85"/>
      <c r="D28" s="59"/>
      <c r="E28" s="59"/>
      <c r="F28" s="59"/>
      <c r="G28" s="59"/>
      <c r="H28" s="59"/>
    </row>
    <row r="29" spans="1:8">
      <c r="A29" s="60" t="s">
        <v>447</v>
      </c>
      <c r="B29" s="57"/>
      <c r="C29" s="85"/>
      <c r="D29" s="59"/>
      <c r="E29" s="59"/>
      <c r="F29" s="59"/>
      <c r="G29" s="59"/>
      <c r="H29" s="59"/>
    </row>
    <row r="30" spans="1:8">
      <c r="A30" s="61" t="s">
        <v>453</v>
      </c>
      <c r="B30" s="365">
        <v>0</v>
      </c>
      <c r="C30" s="85"/>
      <c r="D30" s="59"/>
      <c r="E30" s="59"/>
      <c r="F30" s="59"/>
      <c r="G30" s="59"/>
      <c r="H30" s="59"/>
    </row>
    <row r="31" spans="1:8">
      <c r="A31" s="35" t="s">
        <v>448</v>
      </c>
      <c r="B31" s="366">
        <f>'Transfer MRF Assumptions'!D115</f>
        <v>70000</v>
      </c>
      <c r="C31" s="85"/>
      <c r="D31" s="59"/>
      <c r="E31" s="59"/>
      <c r="F31" s="59"/>
      <c r="G31" s="59"/>
      <c r="H31" s="59"/>
    </row>
    <row r="32" spans="1:8">
      <c r="A32" s="35" t="s">
        <v>360</v>
      </c>
      <c r="B32" s="367">
        <f>B31*B30</f>
        <v>0</v>
      </c>
      <c r="C32" s="85"/>
      <c r="D32" s="59"/>
      <c r="E32" s="59"/>
      <c r="F32" s="59"/>
      <c r="G32" s="59"/>
      <c r="H32" s="59"/>
    </row>
    <row r="33" spans="1:8">
      <c r="A33" s="35" t="s">
        <v>454</v>
      </c>
      <c r="B33" s="368">
        <f>-PMT(Interest_Rate,Building_Cost_Amortisation,B32,,)</f>
        <v>0</v>
      </c>
      <c r="C33" s="85"/>
      <c r="D33" s="59"/>
      <c r="E33" s="59"/>
      <c r="F33" s="59"/>
      <c r="G33" s="59"/>
      <c r="H33" s="59"/>
    </row>
    <row r="34" spans="1:8">
      <c r="A34" s="72"/>
      <c r="B34" s="85"/>
      <c r="C34" s="85"/>
      <c r="D34" s="59"/>
      <c r="E34" s="59"/>
      <c r="F34" s="59"/>
      <c r="G34" s="59"/>
      <c r="H34" s="59"/>
    </row>
    <row r="35" spans="1:8">
      <c r="A35" s="77" t="s">
        <v>361</v>
      </c>
      <c r="B35" s="85"/>
      <c r="C35" s="85"/>
      <c r="D35" s="59"/>
      <c r="E35" s="59"/>
      <c r="F35" s="59"/>
      <c r="G35" s="59"/>
      <c r="H35" s="59"/>
    </row>
    <row r="36" spans="1:8">
      <c r="A36" s="72" t="s">
        <v>284</v>
      </c>
      <c r="B36" s="83" t="e">
        <f t="shared" ref="B36:H36" si="15">-PMT(Interest_Rate,Building_Cost_Amortisation,B25,,)</f>
        <v>#N/A</v>
      </c>
      <c r="C36" s="83" t="e">
        <f t="shared" si="15"/>
        <v>#N/A</v>
      </c>
      <c r="D36" s="83" t="e">
        <f t="shared" si="15"/>
        <v>#N/A</v>
      </c>
      <c r="E36" s="83" t="e">
        <f t="shared" si="15"/>
        <v>#N/A</v>
      </c>
      <c r="F36" s="83" t="e">
        <f>-PMT(Interest_Rate,Building_Cost_Amortisation,F25,,)</f>
        <v>#N/A</v>
      </c>
      <c r="G36" s="83" t="e">
        <f t="shared" si="15"/>
        <v>#N/A</v>
      </c>
      <c r="H36" s="83" t="e">
        <f t="shared" si="15"/>
        <v>#N/A</v>
      </c>
    </row>
    <row r="37" spans="1:8">
      <c r="A37" s="72" t="s">
        <v>362</v>
      </c>
      <c r="B37" s="364">
        <f>B33</f>
        <v>0</v>
      </c>
      <c r="C37" s="83">
        <f>-PMT(Interest_Rate,Building_Cost_Amortisation,C26,,)</f>
        <v>0</v>
      </c>
      <c r="D37" s="83">
        <f t="shared" ref="D37:H37" si="16">-PMT(Interest_Rate,Building_Cost_Amortisation,D26,,)</f>
        <v>0</v>
      </c>
      <c r="E37" s="83">
        <f t="shared" si="16"/>
        <v>0</v>
      </c>
      <c r="F37" s="83">
        <f t="shared" si="16"/>
        <v>0</v>
      </c>
      <c r="G37" s="83">
        <f t="shared" si="16"/>
        <v>0</v>
      </c>
      <c r="H37" s="83">
        <f t="shared" si="16"/>
        <v>0</v>
      </c>
    </row>
    <row r="38" spans="1:8">
      <c r="A38" s="72" t="s">
        <v>285</v>
      </c>
      <c r="B38" s="83" t="e">
        <f t="shared" ref="B38:H38" si="17">-PMT(Interest_Rate,Building_Cost_Amortisation,B16,,)</f>
        <v>#N/A</v>
      </c>
      <c r="C38" s="83" t="e">
        <f t="shared" si="17"/>
        <v>#N/A</v>
      </c>
      <c r="D38" s="83" t="e">
        <f t="shared" si="17"/>
        <v>#N/A</v>
      </c>
      <c r="E38" s="83" t="e">
        <f t="shared" si="17"/>
        <v>#N/A</v>
      </c>
      <c r="F38" s="83" t="e">
        <f t="shared" si="17"/>
        <v>#N/A</v>
      </c>
      <c r="G38" s="83" t="e">
        <f t="shared" si="17"/>
        <v>#N/A</v>
      </c>
      <c r="H38" s="83" t="e">
        <f t="shared" si="17"/>
        <v>#N/A</v>
      </c>
    </row>
    <row r="39" spans="1:8">
      <c r="A39" s="72" t="s">
        <v>287</v>
      </c>
      <c r="B39" s="83" t="e">
        <f t="shared" ref="B39" si="18">-PMT(Interest_Rate,Rolling_Stock_Amortisation,B20,,)</f>
        <v>#N/A</v>
      </c>
      <c r="C39" s="83" t="e">
        <f t="shared" ref="C39:G39" si="19">-PMT(Interest_Rate,Rolling_Stock_Amortisation,C20,,)</f>
        <v>#N/A</v>
      </c>
      <c r="D39" s="83" t="e">
        <f t="shared" si="19"/>
        <v>#N/A</v>
      </c>
      <c r="E39" s="83" t="e">
        <f t="shared" si="19"/>
        <v>#N/A</v>
      </c>
      <c r="F39" s="83" t="e">
        <f t="shared" si="19"/>
        <v>#N/A</v>
      </c>
      <c r="G39" s="83" t="e">
        <f t="shared" si="19"/>
        <v>#N/A</v>
      </c>
      <c r="H39" s="83" t="e">
        <f>-PMT(Interest_Rate,Rolling_Stock_Amortisation,H20,,)</f>
        <v>#N/A</v>
      </c>
    </row>
    <row r="40" spans="1:8">
      <c r="A40" s="78" t="s">
        <v>363</v>
      </c>
      <c r="B40" s="86" t="e">
        <f>-SUM(B36:B39)</f>
        <v>#N/A</v>
      </c>
      <c r="C40" s="86" t="e">
        <f>-SUM(C36:C39)</f>
        <v>#N/A</v>
      </c>
      <c r="D40" s="86" t="e">
        <f t="shared" ref="D40:H40" si="20">-SUM(D36:D39)</f>
        <v>#N/A</v>
      </c>
      <c r="E40" s="86" t="e">
        <f t="shared" si="20"/>
        <v>#N/A</v>
      </c>
      <c r="F40" s="86" t="e">
        <f t="shared" si="20"/>
        <v>#N/A</v>
      </c>
      <c r="G40" s="86" t="e">
        <f t="shared" si="20"/>
        <v>#N/A</v>
      </c>
      <c r="H40" s="86" t="e">
        <f t="shared" si="20"/>
        <v>#N/A</v>
      </c>
    </row>
    <row r="41" spans="1:8">
      <c r="A41" s="78"/>
      <c r="B41" s="85"/>
      <c r="C41" s="85"/>
      <c r="D41" s="59"/>
      <c r="E41" s="59"/>
      <c r="F41" s="59"/>
      <c r="G41" s="59"/>
      <c r="H41" s="59"/>
    </row>
    <row r="42" spans="1:8">
      <c r="A42" s="77" t="s">
        <v>364</v>
      </c>
      <c r="B42" s="85"/>
      <c r="C42" s="85"/>
      <c r="D42" s="59"/>
      <c r="E42" s="59"/>
      <c r="F42" s="59"/>
      <c r="G42" s="59"/>
      <c r="H42" s="59"/>
    </row>
    <row r="43" spans="1:8">
      <c r="A43" s="72" t="s">
        <v>365</v>
      </c>
      <c r="B43" s="87" t="e">
        <f>SUM(B45:B50)</f>
        <v>#N/A</v>
      </c>
      <c r="C43" s="87" t="e">
        <f>SUM(C45:C50)</f>
        <v>#N/A</v>
      </c>
      <c r="D43" s="87" t="e">
        <f t="shared" ref="D43:H43" si="21">SUM(D45:D50)</f>
        <v>#N/A</v>
      </c>
      <c r="E43" s="87" t="e">
        <f t="shared" si="21"/>
        <v>#N/A</v>
      </c>
      <c r="F43" s="87" t="e">
        <f t="shared" si="21"/>
        <v>#N/A</v>
      </c>
      <c r="G43" s="87" t="e">
        <f t="shared" si="21"/>
        <v>#N/A</v>
      </c>
      <c r="H43" s="87" t="e">
        <f t="shared" si="21"/>
        <v>#N/A</v>
      </c>
    </row>
    <row r="44" spans="1:8">
      <c r="A44" s="79" t="s">
        <v>366</v>
      </c>
      <c r="B44" s="87"/>
      <c r="C44" s="87"/>
      <c r="D44" s="88"/>
      <c r="E44" s="88"/>
      <c r="F44" s="88"/>
      <c r="G44" s="88"/>
      <c r="H44" s="88"/>
    </row>
    <row r="45" spans="1:8">
      <c r="A45" s="74" t="s">
        <v>265</v>
      </c>
      <c r="B45" s="87">
        <v>0</v>
      </c>
      <c r="C45" s="87">
        <v>0</v>
      </c>
      <c r="D45" s="88">
        <v>0</v>
      </c>
      <c r="E45" s="88">
        <v>0</v>
      </c>
      <c r="F45" s="88">
        <v>0</v>
      </c>
      <c r="G45" s="88">
        <v>0</v>
      </c>
      <c r="H45" s="88">
        <v>0</v>
      </c>
    </row>
    <row r="46" spans="1:8">
      <c r="A46" s="74" t="s">
        <v>367</v>
      </c>
      <c r="B46" s="40" t="e">
        <f t="shared" ref="B46:H46" si="22">IF(B3&lt;=20000,0,((B3*1)/20000))</f>
        <v>#N/A</v>
      </c>
      <c r="C46" s="40" t="e">
        <f t="shared" si="22"/>
        <v>#N/A</v>
      </c>
      <c r="D46" s="40" t="e">
        <f t="shared" si="22"/>
        <v>#N/A</v>
      </c>
      <c r="E46" s="40" t="e">
        <f t="shared" si="22"/>
        <v>#N/A</v>
      </c>
      <c r="F46" s="40" t="e">
        <f t="shared" si="22"/>
        <v>#N/A</v>
      </c>
      <c r="G46" s="40" t="e">
        <f t="shared" si="22"/>
        <v>#N/A</v>
      </c>
      <c r="H46" s="40" t="e">
        <f t="shared" si="22"/>
        <v>#N/A</v>
      </c>
    </row>
    <row r="47" spans="1:8">
      <c r="A47" s="74" t="s">
        <v>267</v>
      </c>
      <c r="B47" s="40" t="e">
        <f t="shared" ref="B47:H47" si="23">IF(B3&lt;=2500,0.2,((B3*0.2)/2500))</f>
        <v>#N/A</v>
      </c>
      <c r="C47" s="40" t="e">
        <f t="shared" si="23"/>
        <v>#N/A</v>
      </c>
      <c r="D47" s="40" t="e">
        <f t="shared" si="23"/>
        <v>#N/A</v>
      </c>
      <c r="E47" s="40" t="e">
        <f t="shared" si="23"/>
        <v>#N/A</v>
      </c>
      <c r="F47" s="40" t="e">
        <f t="shared" si="23"/>
        <v>#N/A</v>
      </c>
      <c r="G47" s="40" t="e">
        <f t="shared" si="23"/>
        <v>#N/A</v>
      </c>
      <c r="H47" s="40" t="e">
        <f t="shared" si="23"/>
        <v>#N/A</v>
      </c>
    </row>
    <row r="48" spans="1:8">
      <c r="A48" s="74" t="s">
        <v>268</v>
      </c>
      <c r="B48" s="40" t="e">
        <f t="shared" ref="B48:H48" si="24">IF(B3&lt;10000,0,(B3*1)/10000)</f>
        <v>#N/A</v>
      </c>
      <c r="C48" s="40" t="e">
        <f t="shared" si="24"/>
        <v>#N/A</v>
      </c>
      <c r="D48" s="40" t="e">
        <f t="shared" si="24"/>
        <v>#N/A</v>
      </c>
      <c r="E48" s="40" t="e">
        <f t="shared" si="24"/>
        <v>#N/A</v>
      </c>
      <c r="F48" s="40" t="e">
        <f t="shared" si="24"/>
        <v>#N/A</v>
      </c>
      <c r="G48" s="40" t="e">
        <f t="shared" si="24"/>
        <v>#N/A</v>
      </c>
      <c r="H48" s="40" t="e">
        <f t="shared" si="24"/>
        <v>#N/A</v>
      </c>
    </row>
    <row r="49" spans="1:8">
      <c r="A49" s="74" t="s">
        <v>368</v>
      </c>
      <c r="B49" s="40" t="e">
        <f t="shared" ref="B49:H49" si="25">IF(B3&lt;10000,0,(B3*0.5)/10000)</f>
        <v>#N/A</v>
      </c>
      <c r="C49" s="40" t="e">
        <f t="shared" si="25"/>
        <v>#N/A</v>
      </c>
      <c r="D49" s="40" t="e">
        <f t="shared" si="25"/>
        <v>#N/A</v>
      </c>
      <c r="E49" s="40" t="e">
        <f t="shared" si="25"/>
        <v>#N/A</v>
      </c>
      <c r="F49" s="40" t="e">
        <f t="shared" si="25"/>
        <v>#N/A</v>
      </c>
      <c r="G49" s="40" t="e">
        <f t="shared" si="25"/>
        <v>#N/A</v>
      </c>
      <c r="H49" s="40" t="e">
        <f t="shared" si="25"/>
        <v>#N/A</v>
      </c>
    </row>
    <row r="50" spans="1:8">
      <c r="A50" s="74" t="s">
        <v>369</v>
      </c>
      <c r="B50" s="40" t="e">
        <f t="shared" ref="B50:H50" si="26">IF(B3&lt;=2500,0.2,IF(B3&lt;=5000,0.5,(B3*0.5)/5000))</f>
        <v>#N/A</v>
      </c>
      <c r="C50" s="40" t="e">
        <f t="shared" si="26"/>
        <v>#N/A</v>
      </c>
      <c r="D50" s="40" t="e">
        <f t="shared" si="26"/>
        <v>#N/A</v>
      </c>
      <c r="E50" s="40" t="e">
        <f t="shared" si="26"/>
        <v>#N/A</v>
      </c>
      <c r="F50" s="40" t="e">
        <f t="shared" si="26"/>
        <v>#N/A</v>
      </c>
      <c r="G50" s="40" t="e">
        <f t="shared" si="26"/>
        <v>#N/A</v>
      </c>
      <c r="H50" s="40" t="e">
        <f t="shared" si="26"/>
        <v>#N/A</v>
      </c>
    </row>
    <row r="51" spans="1:8">
      <c r="A51" s="72" t="s">
        <v>370</v>
      </c>
      <c r="B51" s="83" t="e">
        <f t="shared" ref="B51" si="27">B45*SorterWages+B46*DriverWages+B47*EquipOperatorWages+B48*MaintenaeWages+B49*ScaleClericalWages+B50*MgmtWages</f>
        <v>#N/A</v>
      </c>
      <c r="C51" s="83" t="e">
        <f t="shared" ref="C51:H51" si="28">C45*SorterWages+C46*DriverWages+C47*EquipOperatorWages+C48*MaintenaeWages+C49*ScaleClericalWages+C50*MgmtWages</f>
        <v>#N/A</v>
      </c>
      <c r="D51" s="83" t="e">
        <f t="shared" si="28"/>
        <v>#N/A</v>
      </c>
      <c r="E51" s="83" t="e">
        <f t="shared" si="28"/>
        <v>#N/A</v>
      </c>
      <c r="F51" s="83" t="e">
        <f t="shared" si="28"/>
        <v>#N/A</v>
      </c>
      <c r="G51" s="83" t="e">
        <f t="shared" si="28"/>
        <v>#N/A</v>
      </c>
      <c r="H51" s="83" t="e">
        <f t="shared" si="28"/>
        <v>#N/A</v>
      </c>
    </row>
    <row r="52" spans="1:8">
      <c r="A52" s="72" t="s">
        <v>372</v>
      </c>
      <c r="B52" s="81" t="e">
        <f t="shared" ref="B52:H52" si="29">B23*(Building_Utility+Building_Maintenance)</f>
        <v>#N/A</v>
      </c>
      <c r="C52" s="81" t="e">
        <f t="shared" si="29"/>
        <v>#N/A</v>
      </c>
      <c r="D52" s="81" t="e">
        <f t="shared" si="29"/>
        <v>#N/A</v>
      </c>
      <c r="E52" s="81" t="e">
        <f t="shared" si="29"/>
        <v>#N/A</v>
      </c>
      <c r="F52" s="81" t="e">
        <f t="shared" si="29"/>
        <v>#N/A</v>
      </c>
      <c r="G52" s="81" t="e">
        <f t="shared" si="29"/>
        <v>#N/A</v>
      </c>
      <c r="H52" s="81" t="e">
        <f t="shared" si="29"/>
        <v>#N/A</v>
      </c>
    </row>
    <row r="53" spans="1:8">
      <c r="A53" s="72" t="s">
        <v>373</v>
      </c>
      <c r="B53" s="81" t="e">
        <f t="shared" ref="B53:H53" si="30">B27*Building_insurance_cost_per__100_000/100000</f>
        <v>#N/A</v>
      </c>
      <c r="C53" s="81" t="e">
        <f t="shared" si="30"/>
        <v>#N/A</v>
      </c>
      <c r="D53" s="81" t="e">
        <f t="shared" si="30"/>
        <v>#N/A</v>
      </c>
      <c r="E53" s="81" t="e">
        <f t="shared" si="30"/>
        <v>#N/A</v>
      </c>
      <c r="F53" s="81" t="e">
        <f t="shared" si="30"/>
        <v>#N/A</v>
      </c>
      <c r="G53" s="81" t="e">
        <f t="shared" si="30"/>
        <v>#N/A</v>
      </c>
      <c r="H53" s="81" t="e">
        <f t="shared" si="30"/>
        <v>#N/A</v>
      </c>
    </row>
    <row r="54" spans="1:8">
      <c r="A54" s="72" t="s">
        <v>374</v>
      </c>
      <c r="B54" s="364" t="e">
        <f t="shared" ref="B54:H54" si="31">Tax_Rate*(B36+B37)</f>
        <v>#N/A</v>
      </c>
      <c r="C54" s="83" t="e">
        <f t="shared" si="31"/>
        <v>#N/A</v>
      </c>
      <c r="D54" s="83" t="e">
        <f t="shared" si="31"/>
        <v>#N/A</v>
      </c>
      <c r="E54" s="83" t="e">
        <f t="shared" si="31"/>
        <v>#N/A</v>
      </c>
      <c r="F54" s="83" t="e">
        <f t="shared" si="31"/>
        <v>#N/A</v>
      </c>
      <c r="G54" s="83" t="e">
        <f t="shared" si="31"/>
        <v>#N/A</v>
      </c>
      <c r="H54" s="83" t="e">
        <f t="shared" si="31"/>
        <v>#N/A</v>
      </c>
    </row>
    <row r="55" spans="1:8">
      <c r="A55" s="72" t="s">
        <v>375</v>
      </c>
      <c r="B55" s="83" t="e">
        <f t="shared" ref="B55:H55" si="32">B3*(Xfer_Fuel+Xfer_Maint)</f>
        <v>#N/A</v>
      </c>
      <c r="C55" s="83" t="e">
        <f t="shared" si="32"/>
        <v>#N/A</v>
      </c>
      <c r="D55" s="83" t="e">
        <f t="shared" si="32"/>
        <v>#N/A</v>
      </c>
      <c r="E55" s="83" t="e">
        <f t="shared" si="32"/>
        <v>#N/A</v>
      </c>
      <c r="F55" s="83" t="e">
        <f t="shared" si="32"/>
        <v>#N/A</v>
      </c>
      <c r="G55" s="83" t="e">
        <f t="shared" si="32"/>
        <v>#N/A</v>
      </c>
      <c r="H55" s="83" t="e">
        <f t="shared" si="32"/>
        <v>#N/A</v>
      </c>
    </row>
    <row r="56" spans="1:8">
      <c r="A56" s="30" t="s">
        <v>524</v>
      </c>
      <c r="B56" s="83" t="e">
        <f t="shared" ref="B56:H56" si="33">-SUM(B51:B55)</f>
        <v>#N/A</v>
      </c>
      <c r="C56" s="83" t="e">
        <f t="shared" si="33"/>
        <v>#N/A</v>
      </c>
      <c r="D56" s="83" t="e">
        <f t="shared" si="33"/>
        <v>#N/A</v>
      </c>
      <c r="E56" s="83" t="e">
        <f t="shared" si="33"/>
        <v>#N/A</v>
      </c>
      <c r="F56" s="83" t="e">
        <f t="shared" si="33"/>
        <v>#N/A</v>
      </c>
      <c r="G56" s="83" t="e">
        <f t="shared" si="33"/>
        <v>#N/A</v>
      </c>
      <c r="H56" s="83" t="e">
        <f t="shared" si="33"/>
        <v>#N/A</v>
      </c>
    </row>
    <row r="57" spans="1:8">
      <c r="A57" s="41" t="s">
        <v>508</v>
      </c>
      <c r="B57" s="86"/>
      <c r="C57" s="83"/>
      <c r="D57" s="83"/>
      <c r="E57" s="83"/>
      <c r="F57" s="83"/>
      <c r="G57" s="83"/>
      <c r="H57" s="83"/>
    </row>
    <row r="58" spans="1:8">
      <c r="A58" s="41" t="s">
        <v>376</v>
      </c>
      <c r="B58" s="86" t="e">
        <f t="shared" ref="B58:H58" si="34">-SUM(B51:B55)+B40</f>
        <v>#N/A</v>
      </c>
      <c r="C58" s="86" t="e">
        <f t="shared" si="34"/>
        <v>#N/A</v>
      </c>
      <c r="D58" s="86" t="e">
        <f t="shared" si="34"/>
        <v>#N/A</v>
      </c>
      <c r="E58" s="86" t="e">
        <f t="shared" si="34"/>
        <v>#N/A</v>
      </c>
      <c r="F58" s="86" t="e">
        <f t="shared" si="34"/>
        <v>#N/A</v>
      </c>
      <c r="G58" s="86" t="e">
        <f t="shared" si="34"/>
        <v>#N/A</v>
      </c>
      <c r="H58" s="86" t="e">
        <f t="shared" si="34"/>
        <v>#N/A</v>
      </c>
    </row>
    <row r="59" spans="1:8" ht="30">
      <c r="A59" s="80" t="s">
        <v>377</v>
      </c>
      <c r="B59" s="83" t="e">
        <f t="shared" ref="B59" si="35">B58*Management_Allowance</f>
        <v>#N/A</v>
      </c>
      <c r="C59" s="83" t="e">
        <f t="shared" ref="C59:H59" si="36">C58*Management_Allowance</f>
        <v>#N/A</v>
      </c>
      <c r="D59" s="83" t="e">
        <f t="shared" si="36"/>
        <v>#N/A</v>
      </c>
      <c r="E59" s="83" t="e">
        <f t="shared" si="36"/>
        <v>#N/A</v>
      </c>
      <c r="F59" s="83" t="e">
        <f t="shared" si="36"/>
        <v>#N/A</v>
      </c>
      <c r="G59" s="83" t="e">
        <f t="shared" si="36"/>
        <v>#N/A</v>
      </c>
      <c r="H59" s="83" t="e">
        <f t="shared" si="36"/>
        <v>#N/A</v>
      </c>
    </row>
    <row r="60" spans="1:8">
      <c r="A60" s="41" t="s">
        <v>409</v>
      </c>
      <c r="B60" s="83" t="e">
        <f>B58+B59</f>
        <v>#N/A</v>
      </c>
      <c r="C60" s="83" t="e">
        <f>C58+C59</f>
        <v>#N/A</v>
      </c>
      <c r="D60" s="83" t="e">
        <f t="shared" ref="D60:H60" si="37">D58+D59</f>
        <v>#N/A</v>
      </c>
      <c r="E60" s="83" t="e">
        <f t="shared" si="37"/>
        <v>#N/A</v>
      </c>
      <c r="F60" s="83" t="e">
        <f t="shared" si="37"/>
        <v>#N/A</v>
      </c>
      <c r="G60" s="83" t="e">
        <f t="shared" si="37"/>
        <v>#N/A</v>
      </c>
      <c r="H60" s="83" t="e">
        <f t="shared" si="37"/>
        <v>#N/A</v>
      </c>
    </row>
    <row r="61" spans="1:8">
      <c r="A61" s="77" t="s">
        <v>379</v>
      </c>
      <c r="B61" s="89" t="e">
        <f t="shared" ref="B61:H61" si="38">B60/B3</f>
        <v>#N/A</v>
      </c>
      <c r="C61" s="89" t="e">
        <f t="shared" si="38"/>
        <v>#N/A</v>
      </c>
      <c r="D61" s="89" t="e">
        <f t="shared" si="38"/>
        <v>#N/A</v>
      </c>
      <c r="E61" s="89" t="e">
        <f t="shared" si="38"/>
        <v>#N/A</v>
      </c>
      <c r="F61" s="89" t="e">
        <f t="shared" si="38"/>
        <v>#N/A</v>
      </c>
      <c r="G61" s="89" t="e">
        <f t="shared" si="38"/>
        <v>#N/A</v>
      </c>
      <c r="H61" s="89" t="e">
        <f t="shared" si="38"/>
        <v>#N/A</v>
      </c>
    </row>
    <row r="62" spans="1:8">
      <c r="A62" s="77" t="s">
        <v>424</v>
      </c>
      <c r="B62" s="90" t="e">
        <f t="shared" ref="B62:H62" si="39">B60/B2</f>
        <v>#N/A</v>
      </c>
      <c r="C62" s="90" t="e">
        <f t="shared" si="39"/>
        <v>#N/A</v>
      </c>
      <c r="D62" s="90" t="e">
        <f t="shared" si="39"/>
        <v>#N/A</v>
      </c>
      <c r="E62" s="90" t="e">
        <f t="shared" si="39"/>
        <v>#N/A</v>
      </c>
      <c r="F62" s="90" t="e">
        <f t="shared" si="39"/>
        <v>#N/A</v>
      </c>
      <c r="G62" s="90" t="e">
        <f t="shared" si="39"/>
        <v>#N/A</v>
      </c>
      <c r="H62" s="90" t="e">
        <f t="shared" si="39"/>
        <v>#N/A</v>
      </c>
    </row>
    <row r="63" spans="1:8">
      <c r="B63" s="59"/>
      <c r="C63" s="59"/>
      <c r="D63" s="59"/>
      <c r="E63" s="59"/>
      <c r="F63" s="59"/>
      <c r="G63" s="59"/>
      <c r="H63" s="59"/>
    </row>
    <row r="64" spans="1:8">
      <c r="A64" t="s">
        <v>410</v>
      </c>
      <c r="B64" s="59" t="e">
        <f>VLOOKUP(Input!$C$12,DropDowns_LookUps!$A$21:$K$25,11,FALSE)</f>
        <v>#N/A</v>
      </c>
      <c r="C64" s="59">
        <f>IF(Input!$C$24="No (model will use default)",One_Way_Trip_Long_Haul_to_MRF,Input!$E$24)*2</f>
        <v>0</v>
      </c>
      <c r="D64" s="59">
        <f>IF(Input!$C$24="No (model will use default)",One_Way_Trip_Long_Haul_to_MRF,Input!$E$24)*2</f>
        <v>0</v>
      </c>
      <c r="E64" s="59">
        <f>IF(Input!$C$24="No (model will use default)",One_Way_Trip_Long_Haul_to_MRF,Input!$E$24)*2</f>
        <v>0</v>
      </c>
      <c r="F64" s="59">
        <f>IF(Input!$C$24="No (model will use default)",One_Way_Trip_Long_Haul_to_MRF,Input!$E$24)*2</f>
        <v>0</v>
      </c>
      <c r="G64" s="59">
        <f>IF(Input!$C$24="No (model will use default)",One_Way_Trip_Long_Haul_to_MRF,Input!$E$24)*2</f>
        <v>0</v>
      </c>
      <c r="H64" s="59">
        <f>IF(Input!$C$24="No (model will use default)",One_Way_Trip_Long_Haul_to_MRF,Input!$E$24)*2</f>
        <v>0</v>
      </c>
    </row>
    <row r="65" spans="1:8">
      <c r="A65" t="s">
        <v>411</v>
      </c>
      <c r="B65" s="91">
        <f t="shared" ref="B65:H65" si="40">LH_Cost_per_Ton_per_Mile</f>
        <v>-7.4999999999999997E-2</v>
      </c>
      <c r="C65" s="91">
        <f t="shared" si="40"/>
        <v>-7.4999999999999997E-2</v>
      </c>
      <c r="D65" s="91">
        <f t="shared" si="40"/>
        <v>-7.4999999999999997E-2</v>
      </c>
      <c r="E65" s="91">
        <f t="shared" si="40"/>
        <v>-7.4999999999999997E-2</v>
      </c>
      <c r="F65" s="91">
        <f t="shared" si="40"/>
        <v>-7.4999999999999997E-2</v>
      </c>
      <c r="G65" s="91">
        <f t="shared" si="40"/>
        <v>-7.4999999999999997E-2</v>
      </c>
      <c r="H65" s="91">
        <f t="shared" si="40"/>
        <v>-7.4999999999999997E-2</v>
      </c>
    </row>
    <row r="66" spans="1:8">
      <c r="A66" t="s">
        <v>412</v>
      </c>
      <c r="B66" s="92" t="e">
        <f t="shared" ref="B66:H66" si="41">B64*B65*B3</f>
        <v>#N/A</v>
      </c>
      <c r="C66" s="92" t="e">
        <f t="shared" si="41"/>
        <v>#N/A</v>
      </c>
      <c r="D66" s="92" t="e">
        <f t="shared" si="41"/>
        <v>#N/A</v>
      </c>
      <c r="E66" s="92" t="e">
        <f t="shared" si="41"/>
        <v>#N/A</v>
      </c>
      <c r="F66" s="92" t="e">
        <f t="shared" si="41"/>
        <v>#N/A</v>
      </c>
      <c r="G66" s="92" t="e">
        <f t="shared" si="41"/>
        <v>#N/A</v>
      </c>
      <c r="H66" s="92" t="e">
        <f t="shared" si="41"/>
        <v>#N/A</v>
      </c>
    </row>
    <row r="67" spans="1:8">
      <c r="A67" t="s">
        <v>413</v>
      </c>
      <c r="B67" s="93" t="e">
        <f t="shared" ref="B67:H67" si="42">B66/B3</f>
        <v>#N/A</v>
      </c>
      <c r="C67" s="93" t="e">
        <f t="shared" si="42"/>
        <v>#N/A</v>
      </c>
      <c r="D67" s="93" t="e">
        <f t="shared" si="42"/>
        <v>#N/A</v>
      </c>
      <c r="E67" s="93" t="e">
        <f t="shared" si="42"/>
        <v>#N/A</v>
      </c>
      <c r="F67" s="93" t="e">
        <f t="shared" si="42"/>
        <v>#N/A</v>
      </c>
      <c r="G67" s="93" t="e">
        <f t="shared" si="42"/>
        <v>#N/A</v>
      </c>
      <c r="H67" s="93" t="e">
        <f t="shared" si="42"/>
        <v>#N/A</v>
      </c>
    </row>
    <row r="68" spans="1:8">
      <c r="A68" t="s">
        <v>425</v>
      </c>
      <c r="B68" s="93" t="e">
        <f t="shared" ref="B68:H68" si="43">B66/B2</f>
        <v>#N/A</v>
      </c>
      <c r="C68" s="93" t="e">
        <f t="shared" si="43"/>
        <v>#N/A</v>
      </c>
      <c r="D68" s="93" t="e">
        <f t="shared" si="43"/>
        <v>#N/A</v>
      </c>
      <c r="E68" s="93" t="e">
        <f t="shared" si="43"/>
        <v>#N/A</v>
      </c>
      <c r="F68" s="93" t="e">
        <f t="shared" si="43"/>
        <v>#N/A</v>
      </c>
      <c r="G68" s="93" t="e">
        <f t="shared" si="43"/>
        <v>#N/A</v>
      </c>
      <c r="H68" s="93" t="e">
        <f t="shared" si="43"/>
        <v>#N/A</v>
      </c>
    </row>
    <row r="69" spans="1:8">
      <c r="B69" s="59"/>
      <c r="C69" s="59"/>
      <c r="D69" s="59"/>
      <c r="E69" s="59"/>
      <c r="F69" s="59"/>
      <c r="G69" s="59"/>
      <c r="H69" s="59"/>
    </row>
    <row r="70" spans="1:8">
      <c r="A70" s="31" t="s">
        <v>421</v>
      </c>
      <c r="B70" s="89" t="e">
        <f>B61+B67</f>
        <v>#N/A</v>
      </c>
      <c r="C70" s="89" t="e">
        <f>C61+C67</f>
        <v>#N/A</v>
      </c>
      <c r="D70" s="89" t="e">
        <f t="shared" ref="D70:H70" si="44">D61+D67</f>
        <v>#N/A</v>
      </c>
      <c r="E70" s="89" t="e">
        <f t="shared" si="44"/>
        <v>#N/A</v>
      </c>
      <c r="F70" s="89" t="e">
        <f t="shared" si="44"/>
        <v>#N/A</v>
      </c>
      <c r="G70" s="89" t="e">
        <f t="shared" si="44"/>
        <v>#N/A</v>
      </c>
      <c r="H70" s="89" t="e">
        <f t="shared" si="44"/>
        <v>#N/A</v>
      </c>
    </row>
    <row r="71" spans="1:8">
      <c r="A71" s="31" t="s">
        <v>426</v>
      </c>
      <c r="B71" s="89" t="e">
        <f>B62+B68</f>
        <v>#N/A</v>
      </c>
      <c r="C71" s="89" t="e">
        <f>C62+C68</f>
        <v>#N/A</v>
      </c>
      <c r="D71" s="89" t="e">
        <f t="shared" ref="D71:H71" si="45">D62+D68</f>
        <v>#N/A</v>
      </c>
      <c r="E71" s="89" t="e">
        <f t="shared" si="45"/>
        <v>#N/A</v>
      </c>
      <c r="F71" s="89" t="e">
        <f t="shared" si="45"/>
        <v>#N/A</v>
      </c>
      <c r="G71" s="89" t="e">
        <f t="shared" si="45"/>
        <v>#N/A</v>
      </c>
      <c r="H71" s="89" t="e">
        <f t="shared" si="45"/>
        <v>#N/A</v>
      </c>
    </row>
    <row r="72" spans="1:8">
      <c r="A72" s="31"/>
      <c r="B72" s="89"/>
      <c r="C72" s="89"/>
      <c r="D72" s="89"/>
      <c r="E72" s="89"/>
      <c r="F72" s="89"/>
      <c r="G72" s="89"/>
      <c r="H72" s="89"/>
    </row>
    <row r="73" spans="1:8">
      <c r="A73" s="31" t="s">
        <v>414</v>
      </c>
      <c r="B73" s="89">
        <f>IF(Input!$C$20="yes",Input!$E$20,Input!$F$20)</f>
        <v>0</v>
      </c>
      <c r="C73" s="89">
        <f>IF(Input!$C$20="yes",Input!$E$20,Input!$F$20)</f>
        <v>0</v>
      </c>
      <c r="D73" s="89">
        <f>IF(Input!$C$20="yes",Input!$E$20,Input!$F$20)</f>
        <v>0</v>
      </c>
      <c r="E73" s="89">
        <f>IF(Input!$C$20="yes",Input!$E$20,Input!$F$20)</f>
        <v>0</v>
      </c>
      <c r="F73" s="89">
        <f>IF(Input!$C$20="yes",Input!$E$20,Input!$F$20)</f>
        <v>0</v>
      </c>
      <c r="G73" s="89">
        <f>IF(Input!$C$20="yes",Input!$E$20,Input!$F$20)</f>
        <v>0</v>
      </c>
      <c r="H73" s="89">
        <f>IF(Input!$C$20="yes",Input!$E$20,Input!$F$20)</f>
        <v>0</v>
      </c>
    </row>
    <row r="74" spans="1:8">
      <c r="A74" s="31" t="s">
        <v>427</v>
      </c>
      <c r="B74" s="23" t="e">
        <f t="shared" ref="B74:H74" si="46">B73*B3</f>
        <v>#N/A</v>
      </c>
      <c r="C74" s="23" t="e">
        <f t="shared" si="46"/>
        <v>#N/A</v>
      </c>
      <c r="D74" s="23" t="e">
        <f t="shared" si="46"/>
        <v>#N/A</v>
      </c>
      <c r="E74" s="23" t="e">
        <f t="shared" si="46"/>
        <v>#N/A</v>
      </c>
      <c r="F74" s="23" t="e">
        <f t="shared" si="46"/>
        <v>#N/A</v>
      </c>
      <c r="G74" s="23" t="e">
        <f t="shared" si="46"/>
        <v>#N/A</v>
      </c>
      <c r="H74" s="23" t="e">
        <f t="shared" si="46"/>
        <v>#N/A</v>
      </c>
    </row>
    <row r="75" spans="1:8">
      <c r="B75" s="59"/>
      <c r="C75" s="59"/>
      <c r="D75" s="59"/>
      <c r="E75" s="59"/>
      <c r="F75" s="59"/>
      <c r="G75" s="59"/>
      <c r="H75" s="59"/>
    </row>
    <row r="76" spans="1:8">
      <c r="A76" t="s">
        <v>422</v>
      </c>
      <c r="B76" s="89" t="e">
        <f>B70+B73</f>
        <v>#N/A</v>
      </c>
      <c r="C76" s="89" t="e">
        <f>C70+C73</f>
        <v>#N/A</v>
      </c>
      <c r="D76" s="89" t="e">
        <f t="shared" ref="D76:G76" si="47">D70+D73</f>
        <v>#N/A</v>
      </c>
      <c r="E76" s="89" t="e">
        <f t="shared" si="47"/>
        <v>#N/A</v>
      </c>
      <c r="F76" s="89" t="e">
        <f t="shared" si="47"/>
        <v>#N/A</v>
      </c>
      <c r="G76" s="89" t="e">
        <f t="shared" si="47"/>
        <v>#N/A</v>
      </c>
      <c r="H76" s="89" t="e">
        <f>H70+H73</f>
        <v>#N/A</v>
      </c>
    </row>
    <row r="77" spans="1:8">
      <c r="A77" t="s">
        <v>423</v>
      </c>
      <c r="B77" s="89" t="e">
        <f t="shared" ref="B77:H77" si="48">B71+B74/B2</f>
        <v>#N/A</v>
      </c>
      <c r="C77" s="89" t="e">
        <f t="shared" si="48"/>
        <v>#N/A</v>
      </c>
      <c r="D77" s="89" t="e">
        <f t="shared" si="48"/>
        <v>#N/A</v>
      </c>
      <c r="E77" s="89" t="e">
        <f t="shared" si="48"/>
        <v>#N/A</v>
      </c>
      <c r="F77" s="89" t="e">
        <f t="shared" si="48"/>
        <v>#N/A</v>
      </c>
      <c r="G77" s="89" t="e">
        <f t="shared" si="48"/>
        <v>#N/A</v>
      </c>
      <c r="H77" s="89" t="e">
        <f t="shared" si="48"/>
        <v>#N/A</v>
      </c>
    </row>
    <row r="78" spans="1:8">
      <c r="A78" s="72" t="s">
        <v>371</v>
      </c>
      <c r="B78" s="83" t="e">
        <f>-B5*DisposalCostsRevenues!C3</f>
        <v>#N/A</v>
      </c>
      <c r="C78" s="83" t="e">
        <f>-C5*DisposalCostsRevenues!D3</f>
        <v>#N/A</v>
      </c>
      <c r="D78" s="83" t="e">
        <f>-D5*DisposalCostsRevenues!E3</f>
        <v>#N/A</v>
      </c>
      <c r="E78" s="83" t="e">
        <f>-E5*DisposalCostsRevenues!F3</f>
        <v>#N/A</v>
      </c>
      <c r="F78" s="83" t="e">
        <f>-F5*DisposalCostsRevenues!G3</f>
        <v>#N/A</v>
      </c>
      <c r="G78" s="83" t="e">
        <f>-G5*DisposalCostsRevenues!H3</f>
        <v>#N/A</v>
      </c>
      <c r="H78" s="83" t="e">
        <f>-H5*DisposalCostsRevenues!I3</f>
        <v>#N/A</v>
      </c>
    </row>
    <row r="79" spans="1:8">
      <c r="A79" s="30" t="s">
        <v>616</v>
      </c>
      <c r="B79" s="90" t="e">
        <f t="shared" ref="B79:H79" si="49">B78/B3</f>
        <v>#N/A</v>
      </c>
      <c r="C79" s="90" t="e">
        <f t="shared" si="49"/>
        <v>#N/A</v>
      </c>
      <c r="D79" s="90" t="e">
        <f t="shared" si="49"/>
        <v>#N/A</v>
      </c>
      <c r="E79" s="90" t="e">
        <f t="shared" si="49"/>
        <v>#N/A</v>
      </c>
      <c r="F79" s="90" t="e">
        <f t="shared" si="49"/>
        <v>#N/A</v>
      </c>
      <c r="G79" s="90" t="e">
        <f t="shared" si="49"/>
        <v>#N/A</v>
      </c>
      <c r="H79" s="90" t="e">
        <f t="shared" si="49"/>
        <v>#N/A</v>
      </c>
    </row>
    <row r="80" spans="1:8">
      <c r="A80" t="s">
        <v>415</v>
      </c>
      <c r="B80" s="94" t="e">
        <f>-ROUNDDOWN(IF(B3&lt;10000,0,(3391.82242359723*POWER(B3,-0.318538593752374)+B79)),-1)</f>
        <v>#N/A</v>
      </c>
      <c r="C80" s="94" t="e">
        <f t="shared" ref="C80:H80" si="50">-ROUNDDOWN(IF(C3&lt;10000,0,(3391.82242359723*POWER(C3,-0.318538593752374)+C79)),-1)</f>
        <v>#N/A</v>
      </c>
      <c r="D80" s="94" t="e">
        <f>-ROUNDDOWN(IF(D3&lt;10000,0,(3391.82242359723*POWER(D3,-0.318538593752374)+D79)),-1)</f>
        <v>#N/A</v>
      </c>
      <c r="E80" s="94" t="e">
        <f t="shared" si="50"/>
        <v>#N/A</v>
      </c>
      <c r="F80" s="94" t="e">
        <f t="shared" si="50"/>
        <v>#N/A</v>
      </c>
      <c r="G80" s="94" t="e">
        <f t="shared" si="50"/>
        <v>#N/A</v>
      </c>
      <c r="H80" s="94" t="e">
        <f t="shared" si="50"/>
        <v>#N/A</v>
      </c>
    </row>
    <row r="81" spans="1:8">
      <c r="A81" t="s">
        <v>432</v>
      </c>
      <c r="B81" s="95" t="e">
        <f t="shared" ref="B81:H81" si="51">ROUNDUP(B80*B3,-2)</f>
        <v>#N/A</v>
      </c>
      <c r="C81" s="95" t="e">
        <f t="shared" si="51"/>
        <v>#N/A</v>
      </c>
      <c r="D81" s="95" t="e">
        <f t="shared" si="51"/>
        <v>#N/A</v>
      </c>
      <c r="E81" s="95" t="e">
        <f t="shared" si="51"/>
        <v>#N/A</v>
      </c>
      <c r="F81" s="95" t="e">
        <f t="shared" si="51"/>
        <v>#N/A</v>
      </c>
      <c r="G81" s="95" t="e">
        <f t="shared" si="51"/>
        <v>#N/A</v>
      </c>
      <c r="H81" s="95" t="e">
        <f t="shared" si="51"/>
        <v>#N/A</v>
      </c>
    </row>
    <row r="82" spans="1:8">
      <c r="A82" t="s">
        <v>416</v>
      </c>
      <c r="B82" s="94" t="e">
        <f t="shared" ref="B82" si="52">IF(B80=0,0,ACR)</f>
        <v>#N/A</v>
      </c>
      <c r="C82" s="94" t="e">
        <f t="shared" ref="C82:H82" si="53">IF(C80=0,0,ACR)</f>
        <v>#N/A</v>
      </c>
      <c r="D82" s="94" t="e">
        <f t="shared" si="53"/>
        <v>#N/A</v>
      </c>
      <c r="E82" s="94" t="e">
        <f t="shared" si="53"/>
        <v>#N/A</v>
      </c>
      <c r="F82" s="94" t="e">
        <f t="shared" si="53"/>
        <v>#N/A</v>
      </c>
      <c r="G82" s="94" t="e">
        <f t="shared" si="53"/>
        <v>#N/A</v>
      </c>
      <c r="H82" s="94" t="e">
        <f t="shared" si="53"/>
        <v>#N/A</v>
      </c>
    </row>
    <row r="83" spans="1:8">
      <c r="A83" t="s">
        <v>428</v>
      </c>
      <c r="B83" s="94" t="e">
        <f t="shared" ref="B83" si="54">B82+B80</f>
        <v>#N/A</v>
      </c>
      <c r="C83" s="94" t="e">
        <f t="shared" ref="C83:G83" si="55">C82+C80</f>
        <v>#N/A</v>
      </c>
      <c r="D83" s="94" t="e">
        <f t="shared" si="55"/>
        <v>#N/A</v>
      </c>
      <c r="E83" s="94" t="e">
        <f t="shared" si="55"/>
        <v>#N/A</v>
      </c>
      <c r="F83" s="94" t="e">
        <f t="shared" si="55"/>
        <v>#N/A</v>
      </c>
      <c r="G83" s="94" t="e">
        <f t="shared" si="55"/>
        <v>#N/A</v>
      </c>
      <c r="H83" s="94" t="e">
        <f>H82+H80</f>
        <v>#N/A</v>
      </c>
    </row>
    <row r="84" spans="1:8">
      <c r="A84" t="s">
        <v>429</v>
      </c>
      <c r="B84" s="94" t="e">
        <f t="shared" ref="B84:H84" si="56">B83*B3/B2</f>
        <v>#N/A</v>
      </c>
      <c r="C84" s="94" t="e">
        <f t="shared" si="56"/>
        <v>#N/A</v>
      </c>
      <c r="D84" s="94" t="e">
        <f t="shared" si="56"/>
        <v>#N/A</v>
      </c>
      <c r="E84" s="94" t="e">
        <f t="shared" si="56"/>
        <v>#N/A</v>
      </c>
      <c r="F84" s="94" t="e">
        <f t="shared" si="56"/>
        <v>#N/A</v>
      </c>
      <c r="G84" s="94" t="e">
        <f t="shared" si="56"/>
        <v>#N/A</v>
      </c>
      <c r="H84" s="94" t="e">
        <f t="shared" si="56"/>
        <v>#N/A</v>
      </c>
    </row>
  </sheetData>
  <sheetProtection algorithmName="SHA-512" hashValue="F6XXGC8S/GNePDOGFRuh6y9uv6ggQabsZChPfoRvX+Yoxb6AChkHS9lco0BFXY1043Ue4qHDr0NUY9rJ/0LD3A==" saltValue="3bJwM6R/KBC84OtFS5IUWQ==" spinCount="100000" sheet="1" objects="1" scenarios="1"/>
  <customSheetViews>
    <customSheetView guid="{C6E026A6-065F-4BC7-8A1C-5537BAE31A06}" state="hidden">
      <pane xSplit="1" ySplit="1" topLeftCell="B51" activePane="bottomRight" state="frozen"/>
      <selection pane="bottomRight" activeCell="D81" sqref="D81"/>
      <pageMargins left="0.7" right="0.7" top="0.75" bottom="0.75" header="0.3" footer="0.3"/>
      <pageSetup orientation="portrait" r:id="rId1"/>
    </customSheetView>
    <customSheetView guid="{C1E42E27-80DF-5D46-A74B-2BA4AA86045C}" state="hidden">
      <pane xSplit="1" ySplit="1" topLeftCell="B51" activePane="bottomRight" state="frozenSplit"/>
      <selection pane="bottomRight" activeCell="D81" sqref="D81"/>
      <pageMargins left="0.7" right="0.7" top="0.75" bottom="0.75" header="0.3" footer="0.3"/>
      <pageSetup orientation="portrait" r:id="rId2"/>
    </customSheetView>
  </customSheetViews>
  <pageMargins left="0.7" right="0.7" top="0.75" bottom="0.75" header="0.3" footer="0.3"/>
  <pageSetup orientation="portrait"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workbookViewId="0"/>
  </sheetViews>
  <sheetFormatPr defaultColWidth="8.85546875" defaultRowHeight="12.75"/>
  <cols>
    <col min="1" max="1" width="46.85546875" style="1" customWidth="1"/>
    <col min="2" max="2" width="17.85546875" style="1" customWidth="1"/>
    <col min="3" max="3" width="19.85546875" style="1" customWidth="1"/>
    <col min="4" max="4" width="19.140625" style="1" customWidth="1"/>
    <col min="5" max="5" width="17.140625" style="1" customWidth="1"/>
    <col min="6" max="6" width="15.85546875" style="1" customWidth="1"/>
    <col min="7" max="7" width="19.140625" style="1" customWidth="1"/>
    <col min="8" max="8" width="17.140625" style="1" customWidth="1"/>
    <col min="9" max="9" width="8.85546875" style="1"/>
    <col min="10" max="10" width="8.140625" style="1" customWidth="1"/>
    <col min="11" max="16384" width="8.85546875" style="1"/>
  </cols>
  <sheetData>
    <row r="1" spans="1:8" ht="38.25">
      <c r="A1" s="369" t="s">
        <v>333</v>
      </c>
      <c r="B1" s="370" t="s">
        <v>525</v>
      </c>
      <c r="C1" s="371" t="s">
        <v>145</v>
      </c>
      <c r="D1" s="371" t="s">
        <v>146</v>
      </c>
      <c r="E1" s="372" t="s">
        <v>147</v>
      </c>
      <c r="F1" s="372" t="s">
        <v>5</v>
      </c>
      <c r="G1" s="373" t="s">
        <v>148</v>
      </c>
      <c r="H1" s="374" t="s">
        <v>149</v>
      </c>
    </row>
    <row r="2" spans="1:8">
      <c r="A2" s="11" t="s">
        <v>8</v>
      </c>
      <c r="B2" s="375">
        <f>TonnageImpacts!C4</f>
        <v>0</v>
      </c>
      <c r="C2" s="375"/>
      <c r="D2" s="375"/>
      <c r="E2" s="375"/>
      <c r="F2" s="375"/>
      <c r="G2" s="375"/>
      <c r="H2" s="375"/>
    </row>
    <row r="3" spans="1:8">
      <c r="A3" s="376" t="s">
        <v>406</v>
      </c>
      <c r="B3" s="14" t="e">
        <f>TonnageImpacts!C13</f>
        <v>#N/A</v>
      </c>
      <c r="C3" s="14"/>
      <c r="D3" s="14"/>
      <c r="E3" s="14"/>
      <c r="F3" s="14"/>
      <c r="G3" s="14"/>
      <c r="H3" s="14"/>
    </row>
    <row r="4" spans="1:8">
      <c r="A4" s="376" t="s">
        <v>346</v>
      </c>
      <c r="B4" s="7" t="e">
        <f t="shared" ref="B4" si="0">B3/Load_Limit_Rolloff</f>
        <v>#N/A</v>
      </c>
      <c r="C4" s="7"/>
      <c r="D4" s="7"/>
      <c r="E4" s="7"/>
      <c r="F4" s="7"/>
      <c r="G4" s="7"/>
      <c r="H4" s="7"/>
    </row>
    <row r="5" spans="1:8">
      <c r="A5" s="376" t="s">
        <v>407</v>
      </c>
      <c r="B5" s="3" t="e">
        <f t="shared" ref="B5" si="1">ROUNDUP(B4/Workdays_per_Year,1)</f>
        <v>#N/A</v>
      </c>
      <c r="C5" s="3"/>
      <c r="D5" s="3"/>
      <c r="E5" s="3"/>
      <c r="F5" s="3"/>
      <c r="G5" s="3"/>
      <c r="H5" s="3"/>
    </row>
    <row r="6" spans="1:8">
      <c r="A6" s="376" t="s">
        <v>507</v>
      </c>
      <c r="B6" s="3">
        <f>ROUNDDOWN(B2/Number_of_Hh_per_Drop_Off_site,0)</f>
        <v>0</v>
      </c>
      <c r="C6" s="3"/>
      <c r="D6" s="3"/>
      <c r="E6" s="3"/>
      <c r="F6" s="3"/>
      <c r="G6" s="3"/>
      <c r="H6" s="3"/>
    </row>
    <row r="7" spans="1:8">
      <c r="A7" s="377"/>
      <c r="B7" s="377"/>
      <c r="C7" s="377"/>
      <c r="D7" s="377"/>
      <c r="E7" s="377"/>
      <c r="F7" s="377"/>
      <c r="G7" s="377"/>
      <c r="H7" s="377"/>
    </row>
    <row r="8" spans="1:8">
      <c r="A8" s="378" t="s">
        <v>446</v>
      </c>
      <c r="B8" s="3"/>
      <c r="C8" s="3"/>
      <c r="D8" s="3"/>
      <c r="E8" s="3"/>
      <c r="F8" s="3"/>
      <c r="G8" s="3"/>
      <c r="H8" s="3"/>
    </row>
    <row r="9" spans="1:8">
      <c r="A9" s="379" t="s">
        <v>286</v>
      </c>
      <c r="B9" s="3"/>
      <c r="C9" s="3"/>
      <c r="D9" s="3"/>
      <c r="E9" s="3"/>
      <c r="F9" s="3"/>
      <c r="G9" s="3"/>
      <c r="H9" s="3"/>
    </row>
    <row r="10" spans="1:8">
      <c r="A10" s="380" t="s">
        <v>349</v>
      </c>
      <c r="B10" s="381" t="e">
        <f>IF(B3&lt;=5000,'Transfer MRF Assumptions'!$E$102,IF(B3&lt;=20000,'Transfer MRF Assumptions'!$F$102,'Transfer MRF Assumptions'!$G$102))</f>
        <v>#N/A</v>
      </c>
      <c r="C10" s="381"/>
      <c r="D10" s="381"/>
      <c r="E10" s="381"/>
      <c r="F10" s="381"/>
      <c r="G10" s="381"/>
      <c r="H10" s="381"/>
    </row>
    <row r="11" spans="1:8">
      <c r="A11" s="380" t="s">
        <v>350</v>
      </c>
      <c r="B11" s="381"/>
      <c r="C11" s="381"/>
      <c r="D11" s="381"/>
      <c r="E11" s="381"/>
      <c r="F11" s="381"/>
      <c r="G11" s="381"/>
      <c r="H11" s="381"/>
    </row>
    <row r="12" spans="1:8">
      <c r="A12" s="382" t="s">
        <v>351</v>
      </c>
      <c r="B12" s="381"/>
      <c r="C12" s="381"/>
      <c r="D12" s="381"/>
      <c r="E12" s="381"/>
      <c r="F12" s="381"/>
      <c r="G12" s="381"/>
      <c r="H12" s="381"/>
    </row>
    <row r="13" spans="1:8">
      <c r="A13" s="382" t="s">
        <v>352</v>
      </c>
      <c r="B13" s="381"/>
      <c r="C13" s="381"/>
      <c r="D13" s="381"/>
      <c r="E13" s="381"/>
      <c r="F13" s="381"/>
      <c r="G13" s="381"/>
      <c r="H13" s="381"/>
    </row>
    <row r="14" spans="1:8">
      <c r="A14" s="383" t="s">
        <v>353</v>
      </c>
      <c r="B14" s="384" t="e">
        <f t="shared" ref="B14" si="2">SUM(B10:B13)*(1+ Equipment_Sensitivity)</f>
        <v>#N/A</v>
      </c>
      <c r="C14" s="385"/>
      <c r="D14" s="385"/>
      <c r="E14" s="385"/>
      <c r="F14" s="385"/>
      <c r="G14" s="385"/>
      <c r="H14" s="385"/>
    </row>
    <row r="15" spans="1:8">
      <c r="A15" s="386" t="s">
        <v>287</v>
      </c>
      <c r="B15" s="387"/>
      <c r="C15" s="3"/>
      <c r="D15" s="3"/>
      <c r="E15" s="3"/>
      <c r="F15" s="3"/>
      <c r="G15" s="3"/>
      <c r="H15" s="3"/>
    </row>
    <row r="16" spans="1:8">
      <c r="A16" s="388" t="s">
        <v>354</v>
      </c>
      <c r="B16" s="389" t="e">
        <f>IF(B3&lt;=5000,Skidsteer,IF(B3&lt;=20000,Skidsteer,Skidsteer))</f>
        <v>#N/A</v>
      </c>
      <c r="C16" s="390"/>
      <c r="D16" s="390"/>
      <c r="E16" s="390"/>
      <c r="F16" s="390"/>
      <c r="G16" s="390"/>
      <c r="H16" s="390"/>
    </row>
    <row r="17" spans="1:8">
      <c r="A17" s="388" t="s">
        <v>355</v>
      </c>
      <c r="B17" s="389"/>
      <c r="C17" s="390"/>
      <c r="D17" s="390"/>
      <c r="E17" s="390"/>
      <c r="F17" s="390"/>
      <c r="G17" s="390"/>
      <c r="H17" s="390"/>
    </row>
    <row r="18" spans="1:8">
      <c r="A18" s="383" t="s">
        <v>287</v>
      </c>
      <c r="B18" s="387" t="e">
        <f t="shared" ref="B18" si="3">SUM(B16:B17)*(1+Rolling_Stock_Sensitivity)</f>
        <v>#N/A</v>
      </c>
      <c r="C18" s="391"/>
      <c r="D18" s="391"/>
      <c r="E18" s="391"/>
      <c r="F18" s="391"/>
      <c r="G18" s="391"/>
      <c r="H18" s="391"/>
    </row>
    <row r="19" spans="1:8">
      <c r="A19" s="386" t="s">
        <v>356</v>
      </c>
      <c r="B19" s="392"/>
      <c r="C19" s="392"/>
      <c r="D19" s="3"/>
      <c r="E19" s="3"/>
      <c r="F19" s="3"/>
      <c r="G19" s="3"/>
      <c r="H19" s="3"/>
    </row>
    <row r="20" spans="1:8">
      <c r="A20" s="383" t="s">
        <v>357</v>
      </c>
      <c r="B20" s="392">
        <v>2</v>
      </c>
      <c r="C20" s="392"/>
      <c r="D20" s="392"/>
      <c r="E20" s="392"/>
      <c r="F20" s="392"/>
      <c r="G20" s="392"/>
      <c r="H20" s="392"/>
    </row>
    <row r="21" spans="1:8">
      <c r="A21" s="383" t="s">
        <v>358</v>
      </c>
      <c r="B21" s="393" t="e">
        <f>IF(B3&lt;=5000,'Transfer MRF Assumptions'!$E$113,IF(B3&lt;=20000,'Transfer MRF Assumptions'!$F$113,'Transfer MRF Assumptions'!$G$113))</f>
        <v>#N/A</v>
      </c>
      <c r="C21" s="393"/>
      <c r="D21" s="393"/>
      <c r="E21" s="393"/>
      <c r="F21" s="393"/>
      <c r="G21" s="393"/>
      <c r="H21" s="393"/>
    </row>
    <row r="22" spans="1:8">
      <c r="A22" s="394" t="s">
        <v>359</v>
      </c>
      <c r="B22" s="384">
        <f t="shared" ref="B22" si="4">Transfer_Cost_per__sq_feet</f>
        <v>125</v>
      </c>
      <c r="C22" s="387"/>
      <c r="D22" s="387"/>
      <c r="E22" s="387"/>
      <c r="F22" s="387"/>
      <c r="G22" s="387"/>
      <c r="H22" s="387"/>
    </row>
    <row r="23" spans="1:8">
      <c r="A23" s="394" t="s">
        <v>284</v>
      </c>
      <c r="B23" s="384" t="e">
        <f>B21*B22</f>
        <v>#N/A</v>
      </c>
      <c r="C23" s="387"/>
      <c r="D23" s="387"/>
      <c r="E23" s="387"/>
      <c r="F23" s="387"/>
      <c r="G23" s="387"/>
      <c r="H23" s="387"/>
    </row>
    <row r="24" spans="1:8">
      <c r="A24" s="395" t="s">
        <v>360</v>
      </c>
      <c r="B24" s="385">
        <f t="shared" ref="B24" si="5">Land_Cost_per_acre*B20*(1+Land_Cost_Sensitivity)</f>
        <v>0</v>
      </c>
      <c r="C24" s="391"/>
      <c r="D24" s="391"/>
      <c r="E24" s="391"/>
      <c r="F24" s="391"/>
      <c r="G24" s="391"/>
      <c r="H24" s="391"/>
    </row>
    <row r="25" spans="1:8">
      <c r="A25" s="396" t="s">
        <v>408</v>
      </c>
      <c r="B25" s="384" t="e">
        <f>SUM(B23:B24)</f>
        <v>#N/A</v>
      </c>
      <c r="C25" s="387"/>
      <c r="D25" s="387"/>
      <c r="E25" s="387"/>
      <c r="F25" s="387"/>
      <c r="G25" s="387"/>
      <c r="H25" s="387"/>
    </row>
    <row r="26" spans="1:8">
      <c r="A26" s="383"/>
      <c r="B26" s="397"/>
      <c r="C26" s="392"/>
      <c r="D26" s="3"/>
      <c r="E26" s="3"/>
      <c r="F26" s="3"/>
      <c r="G26" s="3"/>
      <c r="H26" s="3"/>
    </row>
    <row r="27" spans="1:8">
      <c r="A27" s="398" t="s">
        <v>447</v>
      </c>
      <c r="B27" s="399"/>
      <c r="C27" s="392"/>
      <c r="D27" s="3"/>
      <c r="E27" s="3"/>
      <c r="F27" s="3"/>
      <c r="G27" s="3"/>
      <c r="H27" s="3"/>
    </row>
    <row r="28" spans="1:8">
      <c r="A28" s="400" t="s">
        <v>453</v>
      </c>
      <c r="B28" s="401">
        <f>ROUNDDOWN(B2/Number_of_Hh_per_Drop_Off_site,0)</f>
        <v>0</v>
      </c>
      <c r="C28" s="392"/>
      <c r="D28" s="3"/>
      <c r="E28" s="3"/>
      <c r="F28" s="3"/>
      <c r="G28" s="3"/>
      <c r="H28" s="3"/>
    </row>
    <row r="29" spans="1:8">
      <c r="A29" s="380" t="s">
        <v>448</v>
      </c>
      <c r="B29" s="402">
        <f>'Transfer MRF Assumptions'!D115</f>
        <v>70000</v>
      </c>
      <c r="C29" s="392"/>
      <c r="D29" s="3"/>
      <c r="E29" s="3"/>
      <c r="F29" s="3"/>
      <c r="G29" s="3"/>
      <c r="H29" s="3"/>
    </row>
    <row r="30" spans="1:8">
      <c r="A30" s="380" t="s">
        <v>360</v>
      </c>
      <c r="B30" s="403">
        <f>B29*B28</f>
        <v>0</v>
      </c>
      <c r="C30" s="392"/>
      <c r="D30" s="3"/>
      <c r="E30" s="3"/>
      <c r="F30" s="3"/>
      <c r="G30" s="3"/>
      <c r="H30" s="3"/>
    </row>
    <row r="31" spans="1:8">
      <c r="A31" s="380" t="s">
        <v>454</v>
      </c>
      <c r="B31" s="404">
        <f>-PMT(Interest_Rate,Building_Cost_Amortisation,B30,,)</f>
        <v>0</v>
      </c>
      <c r="C31" s="392"/>
      <c r="D31" s="3"/>
      <c r="E31" s="3"/>
      <c r="F31" s="3"/>
      <c r="G31" s="3"/>
      <c r="H31" s="3"/>
    </row>
    <row r="32" spans="1:8">
      <c r="A32" s="383"/>
      <c r="B32" s="397"/>
      <c r="C32" s="392"/>
      <c r="D32" s="3"/>
      <c r="E32" s="3"/>
      <c r="F32" s="3"/>
      <c r="G32" s="3"/>
      <c r="H32" s="3"/>
    </row>
    <row r="33" spans="1:8">
      <c r="A33" s="396" t="s">
        <v>361</v>
      </c>
      <c r="B33" s="397"/>
      <c r="C33" s="392"/>
      <c r="D33" s="3"/>
      <c r="E33" s="3"/>
      <c r="F33" s="3"/>
      <c r="G33" s="3"/>
      <c r="H33" s="3"/>
    </row>
    <row r="34" spans="1:8">
      <c r="A34" s="383" t="s">
        <v>284</v>
      </c>
      <c r="B34" s="384">
        <v>0</v>
      </c>
      <c r="C34" s="387"/>
      <c r="D34" s="387"/>
      <c r="E34" s="387"/>
      <c r="F34" s="387"/>
      <c r="G34" s="387"/>
      <c r="H34" s="387"/>
    </row>
    <row r="35" spans="1:8">
      <c r="A35" s="383" t="s">
        <v>362</v>
      </c>
      <c r="B35" s="384">
        <f>B31</f>
        <v>0</v>
      </c>
      <c r="C35" s="387"/>
      <c r="D35" s="387"/>
      <c r="E35" s="387"/>
      <c r="F35" s="387"/>
      <c r="G35" s="387"/>
      <c r="H35" s="387"/>
    </row>
    <row r="36" spans="1:8">
      <c r="A36" s="383" t="s">
        <v>285</v>
      </c>
      <c r="B36" s="384">
        <v>0</v>
      </c>
      <c r="C36" s="387"/>
      <c r="D36" s="387"/>
      <c r="E36" s="387"/>
      <c r="F36" s="387"/>
      <c r="G36" s="387"/>
      <c r="H36" s="387"/>
    </row>
    <row r="37" spans="1:8">
      <c r="A37" s="383" t="s">
        <v>287</v>
      </c>
      <c r="B37" s="384">
        <v>0</v>
      </c>
      <c r="C37" s="387"/>
      <c r="D37" s="387"/>
      <c r="E37" s="387"/>
      <c r="F37" s="387"/>
      <c r="G37" s="387"/>
      <c r="H37" s="387"/>
    </row>
    <row r="38" spans="1:8">
      <c r="A38" s="405" t="s">
        <v>363</v>
      </c>
      <c r="B38" s="406">
        <f>-SUM(B34:B37)</f>
        <v>0</v>
      </c>
      <c r="C38" s="407"/>
      <c r="D38" s="407"/>
      <c r="E38" s="407"/>
      <c r="F38" s="407"/>
      <c r="G38" s="407"/>
      <c r="H38" s="407"/>
    </row>
    <row r="39" spans="1:8">
      <c r="A39" s="405"/>
      <c r="B39" s="397"/>
      <c r="C39" s="392"/>
      <c r="D39" s="3"/>
      <c r="E39" s="3"/>
      <c r="F39" s="3"/>
      <c r="G39" s="3"/>
      <c r="H39" s="3"/>
    </row>
    <row r="40" spans="1:8">
      <c r="A40" s="396" t="s">
        <v>364</v>
      </c>
      <c r="B40" s="397"/>
      <c r="C40" s="392"/>
      <c r="D40" s="3"/>
      <c r="E40" s="3"/>
      <c r="F40" s="3"/>
      <c r="G40" s="3"/>
      <c r="H40" s="3"/>
    </row>
    <row r="41" spans="1:8">
      <c r="A41" s="383" t="s">
        <v>365</v>
      </c>
      <c r="B41" s="408">
        <v>0</v>
      </c>
      <c r="C41" s="409"/>
      <c r="D41" s="409"/>
      <c r="E41" s="409"/>
      <c r="F41" s="409"/>
      <c r="G41" s="409"/>
      <c r="H41" s="409"/>
    </row>
    <row r="42" spans="1:8">
      <c r="A42" s="410" t="s">
        <v>366</v>
      </c>
      <c r="B42" s="408"/>
      <c r="C42" s="409"/>
      <c r="D42" s="411"/>
      <c r="E42" s="411"/>
      <c r="F42" s="411"/>
      <c r="G42" s="411"/>
      <c r="H42" s="411"/>
    </row>
    <row r="43" spans="1:8">
      <c r="A43" s="388" t="s">
        <v>265</v>
      </c>
      <c r="B43" s="408">
        <v>0</v>
      </c>
      <c r="C43" s="409"/>
      <c r="D43" s="411"/>
      <c r="E43" s="411"/>
      <c r="F43" s="411"/>
      <c r="G43" s="411"/>
      <c r="H43" s="411"/>
    </row>
    <row r="44" spans="1:8">
      <c r="A44" s="388" t="s">
        <v>367</v>
      </c>
      <c r="B44" s="412" t="e">
        <f>IF(B3&lt;=20000,0,((B3*1)/20000))</f>
        <v>#N/A</v>
      </c>
      <c r="C44" s="412"/>
      <c r="D44" s="412"/>
      <c r="E44" s="412"/>
      <c r="F44" s="412"/>
      <c r="G44" s="412"/>
      <c r="H44" s="412"/>
    </row>
    <row r="45" spans="1:8">
      <c r="A45" s="388" t="s">
        <v>267</v>
      </c>
      <c r="B45" s="412">
        <v>0</v>
      </c>
      <c r="C45" s="412"/>
      <c r="D45" s="412"/>
      <c r="E45" s="412"/>
      <c r="F45" s="412"/>
      <c r="G45" s="412"/>
      <c r="H45" s="412"/>
    </row>
    <row r="46" spans="1:8">
      <c r="A46" s="388" t="s">
        <v>268</v>
      </c>
      <c r="B46" s="412" t="e">
        <f>IF(B3&lt;10000,0,(B3*1)/10000)</f>
        <v>#N/A</v>
      </c>
      <c r="C46" s="412"/>
      <c r="D46" s="412"/>
      <c r="E46" s="412"/>
      <c r="F46" s="412"/>
      <c r="G46" s="412"/>
      <c r="H46" s="412"/>
    </row>
    <row r="47" spans="1:8">
      <c r="A47" s="388" t="s">
        <v>368</v>
      </c>
      <c r="B47" s="412" t="e">
        <f>IF(B3&lt;10000,0,(B3*0.5)/10000)</f>
        <v>#N/A</v>
      </c>
      <c r="C47" s="412"/>
      <c r="D47" s="412"/>
      <c r="E47" s="412"/>
      <c r="F47" s="412"/>
      <c r="G47" s="412"/>
      <c r="H47" s="412"/>
    </row>
    <row r="48" spans="1:8">
      <c r="A48" s="388" t="s">
        <v>369</v>
      </c>
      <c r="B48" s="412">
        <v>0</v>
      </c>
      <c r="C48" s="412"/>
      <c r="D48" s="412"/>
      <c r="E48" s="412"/>
      <c r="F48" s="412"/>
      <c r="G48" s="412"/>
      <c r="H48" s="412"/>
    </row>
    <row r="49" spans="1:8">
      <c r="A49" s="383" t="s">
        <v>370</v>
      </c>
      <c r="B49" s="384" t="e">
        <f t="shared" ref="B49" si="6">B43*SorterWages+B44*DriverWages+B45*EquipOperatorWages+B46*MaintenaeWages+B47*ScaleClericalWages+B48*MgmtWages</f>
        <v>#N/A</v>
      </c>
      <c r="C49" s="387"/>
      <c r="D49" s="387"/>
      <c r="E49" s="387"/>
      <c r="F49" s="387"/>
      <c r="G49" s="387"/>
      <c r="H49" s="387"/>
    </row>
    <row r="50" spans="1:8">
      <c r="A50" s="383" t="s">
        <v>371</v>
      </c>
      <c r="B50" s="384">
        <v>0</v>
      </c>
      <c r="C50" s="387"/>
      <c r="D50" s="387"/>
      <c r="E50" s="387"/>
      <c r="F50" s="387"/>
      <c r="G50" s="387"/>
      <c r="H50" s="387"/>
    </row>
    <row r="51" spans="1:8">
      <c r="A51" s="383" t="s">
        <v>372</v>
      </c>
      <c r="B51" s="384">
        <v>0</v>
      </c>
      <c r="C51" s="384"/>
      <c r="D51" s="384"/>
      <c r="E51" s="384"/>
      <c r="F51" s="384"/>
      <c r="G51" s="384"/>
      <c r="H51" s="384"/>
    </row>
    <row r="52" spans="1:8">
      <c r="A52" s="383" t="s">
        <v>373</v>
      </c>
      <c r="B52" s="384">
        <v>0</v>
      </c>
      <c r="C52" s="384"/>
      <c r="D52" s="384"/>
      <c r="E52" s="384"/>
      <c r="F52" s="384"/>
      <c r="G52" s="384"/>
      <c r="H52" s="384"/>
    </row>
    <row r="53" spans="1:8">
      <c r="A53" s="383" t="s">
        <v>374</v>
      </c>
      <c r="B53" s="384">
        <f t="shared" ref="B53" si="7">Tax_Rate*(B34+B35)</f>
        <v>0</v>
      </c>
      <c r="C53" s="387"/>
      <c r="D53" s="387"/>
      <c r="E53" s="387"/>
      <c r="F53" s="387"/>
      <c r="G53" s="387"/>
      <c r="H53" s="387"/>
    </row>
    <row r="54" spans="1:8">
      <c r="A54" s="383" t="s">
        <v>375</v>
      </c>
      <c r="B54" s="384">
        <v>0</v>
      </c>
      <c r="C54" s="387"/>
      <c r="D54" s="387"/>
      <c r="E54" s="387"/>
      <c r="F54" s="387"/>
      <c r="G54" s="387"/>
      <c r="H54" s="387"/>
    </row>
    <row r="55" spans="1:8">
      <c r="A55" s="413" t="s">
        <v>524</v>
      </c>
      <c r="B55" s="384" t="e">
        <f>-SUM(B49:B54)*B28</f>
        <v>#N/A</v>
      </c>
      <c r="C55" s="387"/>
      <c r="D55" s="387"/>
      <c r="E55" s="387"/>
      <c r="F55" s="387"/>
      <c r="G55" s="387"/>
      <c r="H55" s="387"/>
    </row>
    <row r="56" spans="1:8">
      <c r="A56" s="414" t="s">
        <v>376</v>
      </c>
      <c r="B56" s="406" t="e">
        <f>-SUM(B49:B54)+B38</f>
        <v>#N/A</v>
      </c>
      <c r="C56" s="387"/>
      <c r="D56" s="387"/>
      <c r="E56" s="387"/>
      <c r="F56" s="387"/>
      <c r="G56" s="387"/>
      <c r="H56" s="387"/>
    </row>
    <row r="57" spans="1:8">
      <c r="A57" s="414" t="s">
        <v>376</v>
      </c>
      <c r="B57" s="415" t="e">
        <f>B56</f>
        <v>#N/A</v>
      </c>
      <c r="C57" s="407"/>
      <c r="D57" s="407"/>
      <c r="E57" s="407"/>
      <c r="F57" s="407"/>
      <c r="G57" s="407"/>
      <c r="H57" s="407"/>
    </row>
    <row r="58" spans="1:8" ht="25.5">
      <c r="A58" s="416" t="s">
        <v>549</v>
      </c>
      <c r="B58" s="384" t="e">
        <f>B57*5%</f>
        <v>#N/A</v>
      </c>
      <c r="C58" s="387"/>
      <c r="D58" s="387"/>
      <c r="E58" s="387"/>
      <c r="F58" s="387"/>
      <c r="G58" s="387"/>
      <c r="H58" s="387"/>
    </row>
    <row r="59" spans="1:8">
      <c r="A59" s="414" t="s">
        <v>409</v>
      </c>
      <c r="B59" s="384" t="e">
        <f>B57+B58</f>
        <v>#N/A</v>
      </c>
      <c r="C59" s="387"/>
      <c r="D59" s="387"/>
      <c r="E59" s="387"/>
      <c r="F59" s="387"/>
      <c r="G59" s="387"/>
      <c r="H59" s="387"/>
    </row>
    <row r="60" spans="1:8">
      <c r="A60" s="396" t="s">
        <v>379</v>
      </c>
      <c r="B60" s="417" t="e">
        <f>B59/B3</f>
        <v>#N/A</v>
      </c>
      <c r="C60" s="418"/>
      <c r="D60" s="418"/>
      <c r="E60" s="418"/>
      <c r="F60" s="418"/>
      <c r="G60" s="418"/>
      <c r="H60" s="418"/>
    </row>
    <row r="61" spans="1:8">
      <c r="A61" s="396" t="s">
        <v>424</v>
      </c>
      <c r="B61" s="419" t="e">
        <f>B59/B2</f>
        <v>#N/A</v>
      </c>
      <c r="C61" s="5"/>
      <c r="D61" s="5"/>
      <c r="E61" s="5"/>
      <c r="F61" s="5"/>
      <c r="G61" s="5"/>
      <c r="H61" s="5"/>
    </row>
    <row r="64" spans="1:8">
      <c r="A64" s="2" t="s">
        <v>14</v>
      </c>
    </row>
    <row r="65" spans="1:8">
      <c r="A65" s="3" t="s">
        <v>552</v>
      </c>
      <c r="B65" s="3">
        <f>B6</f>
        <v>0</v>
      </c>
      <c r="C65" s="3"/>
      <c r="D65" s="3"/>
      <c r="E65" s="3"/>
      <c r="F65" s="3"/>
      <c r="G65" s="3"/>
      <c r="H65" s="3"/>
    </row>
    <row r="66" spans="1:8">
      <c r="A66" s="3" t="s">
        <v>122</v>
      </c>
      <c r="B66" s="62" t="e">
        <f>B59*20</f>
        <v>#N/A</v>
      </c>
      <c r="C66" s="430"/>
      <c r="D66" s="22"/>
      <c r="E66" s="22"/>
      <c r="F66" s="22"/>
      <c r="G66" s="22"/>
      <c r="H66" s="22"/>
    </row>
    <row r="67" spans="1:8">
      <c r="A67" s="3" t="s">
        <v>408</v>
      </c>
      <c r="B67" s="62">
        <f>B38*20</f>
        <v>0</v>
      </c>
      <c r="C67" s="430"/>
      <c r="D67" s="22"/>
      <c r="E67" s="22"/>
      <c r="F67" s="22"/>
      <c r="G67" s="22"/>
      <c r="H67" s="22"/>
    </row>
    <row r="68" spans="1:8">
      <c r="A68" s="3" t="s">
        <v>550</v>
      </c>
      <c r="B68" s="62" t="e">
        <f>B55</f>
        <v>#N/A</v>
      </c>
      <c r="C68" s="22"/>
      <c r="D68" s="22"/>
      <c r="E68" s="22"/>
      <c r="F68" s="22"/>
      <c r="G68" s="22"/>
      <c r="H68" s="22"/>
    </row>
    <row r="69" spans="1:8">
      <c r="A69" s="3" t="s">
        <v>551</v>
      </c>
      <c r="B69" s="62" t="e">
        <f>B59</f>
        <v>#N/A</v>
      </c>
      <c r="C69" s="22"/>
      <c r="D69" s="22"/>
      <c r="E69" s="22"/>
      <c r="F69" s="22"/>
      <c r="G69" s="22"/>
      <c r="H69" s="22"/>
    </row>
    <row r="70" spans="1:8">
      <c r="A70" s="3" t="s">
        <v>553</v>
      </c>
      <c r="B70" s="62" t="e">
        <f>B69/B65</f>
        <v>#N/A</v>
      </c>
      <c r="C70" s="3"/>
      <c r="D70" s="3"/>
      <c r="E70" s="3"/>
      <c r="F70" s="3"/>
      <c r="G70" s="3"/>
      <c r="H70" s="3"/>
    </row>
  </sheetData>
  <sheetProtection algorithmName="SHA-512" hashValue="CSVBvG7obEJ22PmqeoNrEyAqO7gIWjS9A1TyRIAgLwI9qZXwLwDvHre39jJYhr4ojMayy/JCGK79KgWss34C0A==" saltValue="jeX2mPfjGoLUvCH5pEQQ9Q==" spinCount="100000" sheet="1" objects="1" scenarios="1"/>
  <customSheetViews>
    <customSheetView guid="{C6E026A6-065F-4BC7-8A1C-5537BAE31A06}" state="hidden">
      <pageMargins left="0.7" right="0.7" top="0.75" bottom="0.75" header="0.3" footer="0.3"/>
      <pageSetup orientation="portrait" horizontalDpi="4294967293" verticalDpi="0" r:id="rId1"/>
    </customSheetView>
    <customSheetView guid="{C1E42E27-80DF-5D46-A74B-2BA4AA86045C}" state="hidden">
      <pageMargins left="0.7" right="0.7" top="0.75" bottom="0.75" header="0.3" footer="0.3"/>
      <pageSetup orientation="portrait" horizontalDpi="4294967293" verticalDpi="0" r:id="rId2"/>
    </customSheetView>
  </customSheetViews>
  <pageMargins left="0.7" right="0.7" top="0.75" bottom="0.75" header="0.3" footer="0.3"/>
  <pageSetup orientation="portrait" horizontalDpi="4294967293"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46"/>
  <sheetViews>
    <sheetView showGridLines="0" showRowColHeaders="0" zoomScale="90" zoomScaleNormal="90" zoomScalePageLayoutView="90" workbookViewId="0">
      <selection activeCell="C24" sqref="C24"/>
    </sheetView>
  </sheetViews>
  <sheetFormatPr defaultColWidth="8.85546875" defaultRowHeight="12.75"/>
  <cols>
    <col min="1" max="1" width="3" style="104" customWidth="1"/>
    <col min="2" max="2" width="7.85546875" style="104" customWidth="1"/>
    <col min="3" max="3" width="100.85546875" style="104" customWidth="1"/>
    <col min="4" max="4" width="84.28515625" style="104" customWidth="1"/>
    <col min="5" max="5" width="11.140625" style="104" customWidth="1"/>
    <col min="6" max="6" width="8.5703125" style="509" customWidth="1"/>
    <col min="7" max="8" width="8.85546875" style="104"/>
    <col min="9" max="48" width="8.85546875" style="103"/>
    <col min="49" max="16384" width="8.85546875" style="104"/>
  </cols>
  <sheetData>
    <row r="1" spans="1:48" ht="48" customHeight="1" thickBot="1">
      <c r="A1" s="103"/>
      <c r="B1" s="497" t="s">
        <v>626</v>
      </c>
      <c r="C1" s="103"/>
      <c r="D1" s="103"/>
      <c r="E1" s="103"/>
      <c r="F1" s="507"/>
      <c r="G1" s="103"/>
      <c r="H1" s="103"/>
    </row>
    <row r="2" spans="1:48" s="314" customFormat="1" ht="44.1" customHeight="1" thickTop="1" thickBot="1">
      <c r="A2" s="313"/>
      <c r="B2" s="356"/>
      <c r="C2" s="357" t="s">
        <v>628</v>
      </c>
      <c r="D2" s="358"/>
      <c r="E2" s="358"/>
      <c r="F2" s="508"/>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313"/>
      <c r="AP2" s="313"/>
      <c r="AQ2" s="313"/>
      <c r="AR2" s="313"/>
      <c r="AS2" s="313"/>
      <c r="AT2" s="313"/>
      <c r="AU2" s="313"/>
      <c r="AV2" s="313"/>
    </row>
    <row r="3" spans="1:48" s="314" customFormat="1" ht="26.1" customHeight="1" thickTop="1">
      <c r="A3" s="438"/>
      <c r="B3" s="437"/>
      <c r="C3" s="437" t="s">
        <v>235</v>
      </c>
      <c r="D3" s="436"/>
      <c r="E3" s="436"/>
      <c r="F3" s="359"/>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313"/>
      <c r="AT3" s="313"/>
      <c r="AU3" s="313"/>
      <c r="AV3" s="313"/>
    </row>
    <row r="4" spans="1:48" s="314" customFormat="1" ht="15" customHeight="1">
      <c r="A4" s="313"/>
      <c r="B4" s="436"/>
      <c r="C4" s="502"/>
      <c r="D4" s="436"/>
      <c r="E4" s="436"/>
      <c r="F4" s="359"/>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row>
    <row r="5" spans="1:48" s="314" customFormat="1" ht="26.1" customHeight="1">
      <c r="A5" s="313"/>
      <c r="B5" s="436"/>
      <c r="C5" s="437" t="s">
        <v>463</v>
      </c>
      <c r="D5" s="436"/>
      <c r="E5" s="436"/>
      <c r="F5" s="359"/>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row>
    <row r="6" spans="1:48" s="314" customFormat="1" ht="15" customHeight="1">
      <c r="A6" s="313"/>
      <c r="B6" s="436"/>
      <c r="C6" s="502"/>
      <c r="D6" s="436"/>
      <c r="E6" s="436"/>
      <c r="F6" s="359"/>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AR6" s="313"/>
      <c r="AS6" s="313"/>
      <c r="AT6" s="313"/>
      <c r="AU6" s="313"/>
      <c r="AV6" s="313"/>
    </row>
    <row r="7" spans="1:48" s="314" customFormat="1" ht="42" customHeight="1">
      <c r="A7" s="313"/>
      <c r="B7" s="436"/>
      <c r="C7" s="514" t="s">
        <v>618</v>
      </c>
      <c r="D7" s="514"/>
      <c r="E7" s="436"/>
      <c r="F7" s="359"/>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c r="AP7" s="313"/>
      <c r="AQ7" s="313"/>
      <c r="AR7" s="313"/>
      <c r="AS7" s="313"/>
      <c r="AT7" s="313"/>
      <c r="AU7" s="313"/>
      <c r="AV7" s="313"/>
    </row>
    <row r="8" spans="1:48" s="314" customFormat="1" ht="15" customHeight="1">
      <c r="A8" s="313"/>
      <c r="B8" s="436"/>
      <c r="C8" s="503"/>
      <c r="D8" s="498" t="str">
        <f>IF(C8&gt;0,"","Please enter a numeric value greater than 0.")</f>
        <v>Please enter a numeric value greater than 0.</v>
      </c>
      <c r="E8" s="436"/>
      <c r="F8" s="359"/>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c r="AG8" s="313"/>
      <c r="AH8" s="313"/>
      <c r="AI8" s="313"/>
      <c r="AJ8" s="313"/>
      <c r="AK8" s="313"/>
      <c r="AL8" s="313"/>
      <c r="AM8" s="313"/>
      <c r="AN8" s="313"/>
      <c r="AO8" s="313"/>
      <c r="AP8" s="313"/>
      <c r="AQ8" s="313"/>
      <c r="AR8" s="313"/>
      <c r="AS8" s="313"/>
      <c r="AT8" s="313"/>
      <c r="AU8" s="313"/>
      <c r="AV8" s="313"/>
    </row>
    <row r="9" spans="1:48" s="314" customFormat="1" ht="26.1" customHeight="1">
      <c r="A9" s="313"/>
      <c r="B9" s="436"/>
      <c r="C9" s="437" t="s">
        <v>586</v>
      </c>
      <c r="D9" s="436"/>
      <c r="E9" s="436"/>
      <c r="F9" s="359"/>
      <c r="G9" s="313"/>
      <c r="H9" s="313"/>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3"/>
      <c r="AQ9" s="313"/>
      <c r="AR9" s="313"/>
      <c r="AS9" s="313"/>
      <c r="AT9" s="313"/>
      <c r="AU9" s="313"/>
      <c r="AV9" s="313"/>
    </row>
    <row r="10" spans="1:48" s="314" customFormat="1" ht="15" customHeight="1">
      <c r="A10" s="313"/>
      <c r="B10" s="436"/>
      <c r="C10" s="504"/>
      <c r="D10" s="436"/>
      <c r="E10" s="436"/>
      <c r="F10" s="359"/>
      <c r="G10" s="313"/>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3"/>
      <c r="AT10" s="313"/>
      <c r="AU10" s="313"/>
      <c r="AV10" s="313"/>
    </row>
    <row r="11" spans="1:48" s="314" customFormat="1" ht="26.1" customHeight="1">
      <c r="A11" s="313"/>
      <c r="B11" s="436"/>
      <c r="C11" s="437" t="s">
        <v>587</v>
      </c>
      <c r="D11" s="436"/>
      <c r="E11" s="436"/>
      <c r="F11" s="359"/>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313"/>
      <c r="AK11" s="313"/>
      <c r="AL11" s="313"/>
      <c r="AM11" s="313"/>
      <c r="AN11" s="313"/>
      <c r="AO11" s="313"/>
      <c r="AP11" s="313"/>
      <c r="AQ11" s="313"/>
      <c r="AR11" s="313"/>
      <c r="AS11" s="313"/>
      <c r="AT11" s="313"/>
      <c r="AU11" s="313"/>
      <c r="AV11" s="313"/>
    </row>
    <row r="12" spans="1:48" s="314" customFormat="1" ht="15" customHeight="1">
      <c r="A12" s="313"/>
      <c r="B12" s="436"/>
      <c r="C12" s="502"/>
      <c r="D12" s="436"/>
      <c r="E12" s="436"/>
      <c r="F12" s="359"/>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3"/>
      <c r="AP12" s="313"/>
      <c r="AQ12" s="313"/>
      <c r="AR12" s="313"/>
      <c r="AS12" s="313"/>
      <c r="AT12" s="313"/>
      <c r="AU12" s="313"/>
      <c r="AV12" s="313"/>
    </row>
    <row r="13" spans="1:48" s="314" customFormat="1" ht="26.1" customHeight="1">
      <c r="A13" s="313"/>
      <c r="B13" s="436"/>
      <c r="C13" s="437" t="s">
        <v>461</v>
      </c>
      <c r="D13" s="436"/>
      <c r="E13" s="436"/>
      <c r="F13" s="359"/>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3"/>
      <c r="AL13" s="313"/>
      <c r="AM13" s="313"/>
      <c r="AN13" s="313"/>
      <c r="AO13" s="313"/>
      <c r="AP13" s="313"/>
      <c r="AQ13" s="313"/>
      <c r="AR13" s="313"/>
      <c r="AS13" s="313"/>
      <c r="AT13" s="313"/>
      <c r="AU13" s="313"/>
      <c r="AV13" s="313"/>
    </row>
    <row r="14" spans="1:48" s="314" customFormat="1" ht="15" customHeight="1">
      <c r="A14" s="313"/>
      <c r="B14" s="436"/>
      <c r="C14" s="502"/>
      <c r="D14" s="436"/>
      <c r="E14" s="436"/>
      <c r="F14" s="359"/>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3"/>
      <c r="AQ14" s="313"/>
      <c r="AR14" s="313"/>
      <c r="AS14" s="313"/>
      <c r="AT14" s="313"/>
      <c r="AU14" s="313"/>
      <c r="AV14" s="313"/>
    </row>
    <row r="15" spans="1:48" s="314" customFormat="1" ht="26.1" customHeight="1">
      <c r="A15" s="313"/>
      <c r="B15" s="436"/>
      <c r="C15" s="437" t="s">
        <v>588</v>
      </c>
      <c r="D15" s="436"/>
      <c r="E15" s="436"/>
      <c r="F15" s="359"/>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313"/>
      <c r="AP15" s="313"/>
      <c r="AQ15" s="313"/>
      <c r="AR15" s="313"/>
      <c r="AS15" s="313"/>
      <c r="AT15" s="313"/>
      <c r="AU15" s="313"/>
      <c r="AV15" s="313"/>
    </row>
    <row r="16" spans="1:48" s="314" customFormat="1" ht="15" customHeight="1">
      <c r="A16" s="313"/>
      <c r="B16" s="436"/>
      <c r="C16" s="502"/>
      <c r="D16" s="436"/>
      <c r="E16" s="436"/>
      <c r="F16" s="359"/>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c r="AT16" s="313"/>
      <c r="AU16" s="313"/>
      <c r="AV16" s="313"/>
    </row>
    <row r="17" spans="1:48" s="106" customFormat="1" ht="26.1" customHeight="1">
      <c r="A17" s="105"/>
      <c r="B17" s="436"/>
      <c r="C17" s="437" t="s">
        <v>233</v>
      </c>
      <c r="D17" s="499"/>
      <c r="E17" s="436"/>
      <c r="F17" s="359"/>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row>
    <row r="18" spans="1:48" s="106" customFormat="1" ht="15" customHeight="1">
      <c r="A18" s="105"/>
      <c r="B18" s="436"/>
      <c r="C18" s="502"/>
      <c r="D18" s="500" t="s">
        <v>629</v>
      </c>
      <c r="E18" s="526"/>
      <c r="F18" s="359">
        <f>IF(C18="No (model will use default)","",E18)</f>
        <v>0</v>
      </c>
      <c r="G18" s="105"/>
      <c r="H18" s="107"/>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row>
    <row r="19" spans="1:48" s="106" customFormat="1" ht="26.1" customHeight="1">
      <c r="A19" s="105"/>
      <c r="B19" s="436"/>
      <c r="C19" s="437" t="s">
        <v>234</v>
      </c>
      <c r="D19" s="440" t="str">
        <f>IF(E18&gt;0,"Be sure that you entered in a dollar amount (i.e. $15.75) for the tip fee","")</f>
        <v/>
      </c>
      <c r="E19" s="436"/>
      <c r="F19" s="359"/>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row>
    <row r="20" spans="1:48" s="106" customFormat="1" ht="17.25" customHeight="1">
      <c r="A20" s="105"/>
      <c r="B20" s="436"/>
      <c r="C20" s="505"/>
      <c r="D20" s="501" t="s">
        <v>630</v>
      </c>
      <c r="E20" s="527"/>
      <c r="F20" s="360">
        <f>IF(C20="No (model will use default)",VLOOKUP(C6,DropDowns_LookUps!A29:D36,4),E20)</f>
        <v>0</v>
      </c>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row>
    <row r="21" spans="1:48" s="106" customFormat="1" ht="33.950000000000003" customHeight="1">
      <c r="A21" s="105"/>
      <c r="B21" s="436"/>
      <c r="C21" s="514" t="s">
        <v>617</v>
      </c>
      <c r="D21" s="514"/>
      <c r="E21" s="500"/>
      <c r="F21" s="359"/>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row>
    <row r="22" spans="1:48" s="105" customFormat="1" ht="15" customHeight="1">
      <c r="B22" s="436"/>
      <c r="C22" s="506"/>
      <c r="D22" s="500"/>
      <c r="E22" s="500"/>
      <c r="F22" s="359"/>
    </row>
    <row r="23" spans="1:48" s="105" customFormat="1" ht="38.1" customHeight="1">
      <c r="B23" s="436"/>
      <c r="C23" s="514" t="s">
        <v>619</v>
      </c>
      <c r="D23" s="514"/>
      <c r="E23" s="500"/>
      <c r="F23" s="359"/>
    </row>
    <row r="24" spans="1:48" s="105" customFormat="1" ht="15" customHeight="1">
      <c r="B24" s="436"/>
      <c r="C24" s="502"/>
      <c r="D24" s="500" t="s">
        <v>631</v>
      </c>
      <c r="E24" s="528"/>
      <c r="F24" s="359">
        <f>IF(C24="No (model will use default)",One_Way_Trip_Long_Haul_to_MRF,E24)</f>
        <v>0</v>
      </c>
    </row>
    <row r="25" spans="1:48" s="105" customFormat="1">
      <c r="B25" s="436"/>
      <c r="C25" s="439" t="s">
        <v>417</v>
      </c>
      <c r="D25" s="439"/>
      <c r="E25" s="436"/>
      <c r="F25" s="359"/>
    </row>
    <row r="26" spans="1:48" s="105" customFormat="1">
      <c r="B26" s="436"/>
      <c r="C26" s="436"/>
      <c r="D26" s="109"/>
      <c r="E26" s="108"/>
      <c r="F26" s="359"/>
    </row>
    <row r="27" spans="1:48" s="103" customFormat="1">
      <c r="F27" s="507"/>
    </row>
    <row r="28" spans="1:48" s="103" customFormat="1">
      <c r="F28" s="507"/>
    </row>
    <row r="29" spans="1:48" s="103" customFormat="1">
      <c r="F29" s="507"/>
    </row>
    <row r="30" spans="1:48" s="103" customFormat="1">
      <c r="F30" s="507"/>
    </row>
    <row r="31" spans="1:48" s="103" customFormat="1">
      <c r="F31" s="507"/>
    </row>
    <row r="32" spans="1:48" s="103" customFormat="1">
      <c r="F32" s="507"/>
    </row>
    <row r="33" spans="6:6" s="103" customFormat="1">
      <c r="F33" s="507"/>
    </row>
    <row r="34" spans="6:6" s="103" customFormat="1">
      <c r="F34" s="507"/>
    </row>
    <row r="35" spans="6:6" s="103" customFormat="1">
      <c r="F35" s="507"/>
    </row>
    <row r="36" spans="6:6" s="103" customFormat="1">
      <c r="F36" s="507"/>
    </row>
    <row r="37" spans="6:6" s="103" customFormat="1">
      <c r="F37" s="507"/>
    </row>
    <row r="38" spans="6:6" s="103" customFormat="1">
      <c r="F38" s="507"/>
    </row>
    <row r="39" spans="6:6" s="103" customFormat="1">
      <c r="F39" s="507"/>
    </row>
    <row r="40" spans="6:6" s="103" customFormat="1">
      <c r="F40" s="507"/>
    </row>
    <row r="41" spans="6:6" s="103" customFormat="1">
      <c r="F41" s="507"/>
    </row>
    <row r="42" spans="6:6" s="103" customFormat="1">
      <c r="F42" s="507"/>
    </row>
    <row r="43" spans="6:6" s="103" customFormat="1">
      <c r="F43" s="507"/>
    </row>
    <row r="44" spans="6:6" s="103" customFormat="1">
      <c r="F44" s="507"/>
    </row>
    <row r="45" spans="6:6" s="103" customFormat="1">
      <c r="F45" s="507"/>
    </row>
    <row r="46" spans="6:6" s="103" customFormat="1">
      <c r="F46" s="507"/>
    </row>
    <row r="47" spans="6:6" s="103" customFormat="1">
      <c r="F47" s="507"/>
    </row>
    <row r="48" spans="6:6" s="103" customFormat="1">
      <c r="F48" s="507"/>
    </row>
    <row r="49" spans="6:6" s="103" customFormat="1">
      <c r="F49" s="507"/>
    </row>
    <row r="50" spans="6:6" s="103" customFormat="1">
      <c r="F50" s="507"/>
    </row>
    <row r="51" spans="6:6" s="103" customFormat="1">
      <c r="F51" s="507"/>
    </row>
    <row r="52" spans="6:6" s="103" customFormat="1">
      <c r="F52" s="507"/>
    </row>
    <row r="53" spans="6:6" s="103" customFormat="1">
      <c r="F53" s="507"/>
    </row>
    <row r="54" spans="6:6" s="103" customFormat="1">
      <c r="F54" s="507"/>
    </row>
    <row r="55" spans="6:6" s="103" customFormat="1">
      <c r="F55" s="507"/>
    </row>
    <row r="56" spans="6:6" s="103" customFormat="1">
      <c r="F56" s="507"/>
    </row>
    <row r="57" spans="6:6" s="103" customFormat="1">
      <c r="F57" s="507"/>
    </row>
    <row r="58" spans="6:6" s="103" customFormat="1">
      <c r="F58" s="507"/>
    </row>
    <row r="59" spans="6:6" s="103" customFormat="1">
      <c r="F59" s="507"/>
    </row>
    <row r="60" spans="6:6" s="103" customFormat="1">
      <c r="F60" s="507"/>
    </row>
    <row r="61" spans="6:6" s="103" customFormat="1">
      <c r="F61" s="507"/>
    </row>
    <row r="62" spans="6:6" s="103" customFormat="1">
      <c r="F62" s="507"/>
    </row>
    <row r="63" spans="6:6" s="103" customFormat="1">
      <c r="F63" s="507"/>
    </row>
    <row r="64" spans="6:6" s="103" customFormat="1">
      <c r="F64" s="507"/>
    </row>
    <row r="65" spans="6:6" s="103" customFormat="1">
      <c r="F65" s="507"/>
    </row>
    <row r="66" spans="6:6" s="103" customFormat="1">
      <c r="F66" s="507"/>
    </row>
    <row r="67" spans="6:6" s="103" customFormat="1">
      <c r="F67" s="507"/>
    </row>
    <row r="68" spans="6:6" s="103" customFormat="1">
      <c r="F68" s="507"/>
    </row>
    <row r="69" spans="6:6" s="103" customFormat="1">
      <c r="F69" s="507"/>
    </row>
    <row r="70" spans="6:6" s="103" customFormat="1">
      <c r="F70" s="507"/>
    </row>
    <row r="71" spans="6:6" s="103" customFormat="1">
      <c r="F71" s="507"/>
    </row>
    <row r="72" spans="6:6" s="103" customFormat="1">
      <c r="F72" s="507"/>
    </row>
    <row r="73" spans="6:6" s="103" customFormat="1">
      <c r="F73" s="507"/>
    </row>
    <row r="74" spans="6:6" s="103" customFormat="1">
      <c r="F74" s="507"/>
    </row>
    <row r="75" spans="6:6" s="103" customFormat="1">
      <c r="F75" s="507"/>
    </row>
    <row r="76" spans="6:6" s="103" customFormat="1">
      <c r="F76" s="507"/>
    </row>
    <row r="77" spans="6:6" s="103" customFormat="1">
      <c r="F77" s="507"/>
    </row>
    <row r="78" spans="6:6" s="103" customFormat="1">
      <c r="F78" s="507"/>
    </row>
    <row r="79" spans="6:6" s="103" customFormat="1">
      <c r="F79" s="507"/>
    </row>
    <row r="80" spans="6:6" s="103" customFormat="1">
      <c r="F80" s="507"/>
    </row>
    <row r="81" spans="6:6" s="103" customFormat="1">
      <c r="F81" s="507"/>
    </row>
    <row r="82" spans="6:6" s="103" customFormat="1">
      <c r="F82" s="507"/>
    </row>
    <row r="83" spans="6:6" s="103" customFormat="1">
      <c r="F83" s="507"/>
    </row>
    <row r="84" spans="6:6" s="103" customFormat="1">
      <c r="F84" s="507"/>
    </row>
    <row r="85" spans="6:6" s="103" customFormat="1">
      <c r="F85" s="507"/>
    </row>
    <row r="86" spans="6:6" s="103" customFormat="1">
      <c r="F86" s="507"/>
    </row>
    <row r="87" spans="6:6" s="103" customFormat="1">
      <c r="F87" s="507"/>
    </row>
    <row r="88" spans="6:6" s="103" customFormat="1">
      <c r="F88" s="507"/>
    </row>
    <row r="89" spans="6:6" s="103" customFormat="1">
      <c r="F89" s="507"/>
    </row>
    <row r="90" spans="6:6" s="103" customFormat="1">
      <c r="F90" s="507"/>
    </row>
    <row r="91" spans="6:6" s="103" customFormat="1">
      <c r="F91" s="507"/>
    </row>
    <row r="92" spans="6:6" s="103" customFormat="1">
      <c r="F92" s="507"/>
    </row>
    <row r="93" spans="6:6" s="103" customFormat="1">
      <c r="F93" s="507"/>
    </row>
    <row r="94" spans="6:6" s="103" customFormat="1">
      <c r="F94" s="507"/>
    </row>
    <row r="95" spans="6:6" s="103" customFormat="1">
      <c r="F95" s="507"/>
    </row>
    <row r="96" spans="6:6" s="103" customFormat="1">
      <c r="F96" s="507"/>
    </row>
    <row r="97" spans="6:6" s="103" customFormat="1">
      <c r="F97" s="507"/>
    </row>
    <row r="98" spans="6:6" s="103" customFormat="1">
      <c r="F98" s="507"/>
    </row>
    <row r="99" spans="6:6" s="103" customFormat="1">
      <c r="F99" s="507"/>
    </row>
    <row r="100" spans="6:6" s="103" customFormat="1">
      <c r="F100" s="507"/>
    </row>
    <row r="101" spans="6:6" s="103" customFormat="1">
      <c r="F101" s="507"/>
    </row>
    <row r="102" spans="6:6" s="103" customFormat="1">
      <c r="F102" s="507"/>
    </row>
    <row r="103" spans="6:6" s="103" customFormat="1">
      <c r="F103" s="507"/>
    </row>
    <row r="104" spans="6:6" s="103" customFormat="1">
      <c r="F104" s="507"/>
    </row>
    <row r="105" spans="6:6" s="103" customFormat="1">
      <c r="F105" s="507"/>
    </row>
    <row r="106" spans="6:6" s="103" customFormat="1">
      <c r="F106" s="507"/>
    </row>
    <row r="107" spans="6:6" s="103" customFormat="1">
      <c r="F107" s="507"/>
    </row>
    <row r="108" spans="6:6" s="103" customFormat="1">
      <c r="F108" s="507"/>
    </row>
    <row r="109" spans="6:6" s="103" customFormat="1">
      <c r="F109" s="507"/>
    </row>
    <row r="110" spans="6:6" s="103" customFormat="1">
      <c r="F110" s="507"/>
    </row>
    <row r="111" spans="6:6" s="103" customFormat="1">
      <c r="F111" s="507"/>
    </row>
    <row r="112" spans="6:6" s="103" customFormat="1">
      <c r="F112" s="507"/>
    </row>
    <row r="113" spans="6:6" s="103" customFormat="1">
      <c r="F113" s="507"/>
    </row>
    <row r="114" spans="6:6" s="103" customFormat="1">
      <c r="F114" s="507"/>
    </row>
    <row r="115" spans="6:6" s="103" customFormat="1">
      <c r="F115" s="507"/>
    </row>
    <row r="116" spans="6:6" s="103" customFormat="1">
      <c r="F116" s="507"/>
    </row>
    <row r="117" spans="6:6" s="103" customFormat="1">
      <c r="F117" s="507"/>
    </row>
    <row r="118" spans="6:6" s="103" customFormat="1">
      <c r="F118" s="507"/>
    </row>
    <row r="119" spans="6:6" s="103" customFormat="1">
      <c r="F119" s="507"/>
    </row>
    <row r="120" spans="6:6" s="103" customFormat="1">
      <c r="F120" s="507"/>
    </row>
    <row r="121" spans="6:6" s="103" customFormat="1">
      <c r="F121" s="507"/>
    </row>
    <row r="122" spans="6:6" s="103" customFormat="1">
      <c r="F122" s="507"/>
    </row>
    <row r="123" spans="6:6" s="103" customFormat="1">
      <c r="F123" s="507"/>
    </row>
    <row r="124" spans="6:6" s="103" customFormat="1">
      <c r="F124" s="507"/>
    </row>
    <row r="125" spans="6:6" s="103" customFormat="1">
      <c r="F125" s="507"/>
    </row>
    <row r="126" spans="6:6" s="103" customFormat="1">
      <c r="F126" s="507"/>
    </row>
    <row r="127" spans="6:6" s="103" customFormat="1">
      <c r="F127" s="507"/>
    </row>
    <row r="128" spans="6:6" s="103" customFormat="1">
      <c r="F128" s="507"/>
    </row>
    <row r="129" spans="6:6" s="103" customFormat="1">
      <c r="F129" s="507"/>
    </row>
    <row r="130" spans="6:6" s="103" customFormat="1">
      <c r="F130" s="507"/>
    </row>
    <row r="131" spans="6:6" s="103" customFormat="1">
      <c r="F131" s="507"/>
    </row>
    <row r="132" spans="6:6" s="103" customFormat="1">
      <c r="F132" s="507"/>
    </row>
    <row r="133" spans="6:6" s="103" customFormat="1">
      <c r="F133" s="507"/>
    </row>
    <row r="134" spans="6:6" s="103" customFormat="1">
      <c r="F134" s="507"/>
    </row>
    <row r="135" spans="6:6" s="103" customFormat="1">
      <c r="F135" s="507"/>
    </row>
    <row r="136" spans="6:6" s="103" customFormat="1">
      <c r="F136" s="507"/>
    </row>
    <row r="137" spans="6:6" s="103" customFormat="1">
      <c r="F137" s="507"/>
    </row>
    <row r="138" spans="6:6" s="103" customFormat="1">
      <c r="F138" s="507"/>
    </row>
    <row r="139" spans="6:6" s="103" customFormat="1">
      <c r="F139" s="507"/>
    </row>
    <row r="140" spans="6:6" s="103" customFormat="1">
      <c r="F140" s="507"/>
    </row>
    <row r="141" spans="6:6" s="103" customFormat="1">
      <c r="F141" s="507"/>
    </row>
    <row r="142" spans="6:6" s="103" customFormat="1">
      <c r="F142" s="507"/>
    </row>
    <row r="143" spans="6:6" s="103" customFormat="1">
      <c r="F143" s="507"/>
    </row>
    <row r="144" spans="6:6" s="103" customFormat="1">
      <c r="F144" s="507"/>
    </row>
    <row r="145" spans="6:6" s="103" customFormat="1">
      <c r="F145" s="507"/>
    </row>
    <row r="146" spans="6:6" s="103" customFormat="1">
      <c r="F146" s="507"/>
    </row>
  </sheetData>
  <sheetProtection algorithmName="SHA-512" hashValue="H9E52hSUayxgonPjKbNEcD96pyk0KPWCv2LzhojxyqN9hDFSLMZ2Eyza4moddElivzceSZOpaLho2X+cVNL7Rg==" saltValue="lweOyOZdATwjsLh/IzsySQ==" spinCount="100000" sheet="1" objects="1" scenarios="1"/>
  <customSheetViews>
    <customSheetView guid="{C6E026A6-065F-4BC7-8A1C-5537BAE31A06}" scale="90" showGridLines="0" showRowCol="0">
      <selection activeCell="D3" sqref="D3"/>
      <colBreaks count="2" manualBreakCount="2">
        <brk id="1" max="1048575" man="1"/>
        <brk id="9" max="1048575" man="1"/>
      </colBreaks>
      <pageMargins left="0.7" right="0.7" top="0.75" bottom="0.75" header="0.3" footer="0.3"/>
      <pageSetup scale="49" fitToWidth="0" fitToHeight="0" orientation="portrait" horizontalDpi="4294967293" r:id="rId1"/>
    </customSheetView>
    <customSheetView guid="{C1E42E27-80DF-5D46-A74B-2BA4AA86045C}" scale="90" showGridLines="0" showRowCol="0">
      <selection activeCell="C8" sqref="C8:D8"/>
      <colBreaks count="2" manualBreakCount="2">
        <brk id="1" max="1048575" man="1"/>
        <brk id="9" max="1048575" man="1"/>
      </colBreaks>
      <pageMargins left="0.7" right="0.7" top="0.75" bottom="0.75" header="0.3" footer="0.3"/>
      <pageSetup scale="49" fitToWidth="0" fitToHeight="0" orientation="portrait" horizontalDpi="4294967293" r:id="rId2"/>
    </customSheetView>
    <customSheetView guid="{487CB698-FD0E-4580-BCE5-B1F3904B4ADD}" showPageBreaks="1" topLeftCell="A7">
      <selection sqref="A1:H34"/>
      <pageMargins left="0.7" right="0.7" top="0.75" bottom="0.75" header="0.3" footer="0.3"/>
      <pageSetup orientation="portrait" horizontalDpi="4294967293" verticalDpi="0" r:id="rId3"/>
    </customSheetView>
  </customSheetViews>
  <mergeCells count="3">
    <mergeCell ref="C21:D21"/>
    <mergeCell ref="C23:D23"/>
    <mergeCell ref="C7:D7"/>
  </mergeCells>
  <phoneticPr fontId="27" type="noConversion"/>
  <dataValidations count="4">
    <dataValidation type="list" allowBlank="1" showInputMessage="1" showErrorMessage="1" sqref="C10">
      <formula1>ParticipationDrop</formula1>
    </dataValidation>
    <dataValidation type="list" allowBlank="1" showInputMessage="1" showErrorMessage="1" sqref="C12">
      <formula1>DensityDrop</formula1>
    </dataValidation>
    <dataValidation type="list" allowBlank="1" showInputMessage="1" showErrorMessage="1" sqref="C14">
      <formula1>Glass</formula1>
    </dataValidation>
    <dataValidation type="list" allowBlank="1" showInputMessage="1" showErrorMessage="1" sqref="C18 C24">
      <formula1>DistancetoLF</formula1>
    </dataValidation>
  </dataValidations>
  <pageMargins left="0.7" right="0.7" top="0.75" bottom="0.75" header="0.3" footer="0.3"/>
  <pageSetup scale="49" fitToWidth="0" fitToHeight="0" orientation="portrait" horizontalDpi="4294967293" r:id="rId4"/>
  <colBreaks count="2" manualBreakCount="2">
    <brk id="1" max="1048575" man="1"/>
    <brk id="9" max="1048575" man="1"/>
  </col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DropDowns_LookUps!$G$2:$G$5</xm:f>
          </x14:formula1>
          <xm:sqref>C16</xm:sqref>
        </x14:dataValidation>
        <x14:dataValidation type="list" allowBlank="1" showInputMessage="1" showErrorMessage="1">
          <x14:formula1>
            <xm:f>DropDowns_LookUps!$A$2:$A$9</xm:f>
          </x14:formula1>
          <xm:sqref>C6</xm:sqref>
        </x14:dataValidation>
        <x14:dataValidation type="list" allowBlank="1" showInputMessage="1" showErrorMessage="1">
          <x14:formula1>
            <xm:f>DropDowns_LookUps!$M$2:$M$3</xm:f>
          </x14:formula1>
          <xm:sqref>C20</xm:sqref>
        </x14:dataValidation>
        <x14:dataValidation type="list" allowBlank="1" showInputMessage="1" showErrorMessage="1">
          <x14:formula1>
            <xm:f>DropDowns_LookUps!$Q$2:$Q$8</xm:f>
          </x14:formula1>
          <xm:sqref>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1"/>
  <sheetViews>
    <sheetView showGridLines="0" showRowColHeaders="0" workbookViewId="0">
      <selection activeCell="B3" sqref="B3"/>
    </sheetView>
  </sheetViews>
  <sheetFormatPr defaultColWidth="8.85546875" defaultRowHeight="12.75"/>
  <cols>
    <col min="1" max="1" width="3.140625" style="110" customWidth="1"/>
    <col min="2" max="2" width="36.140625" style="115" customWidth="1"/>
    <col min="3" max="5" width="13.85546875" style="112" customWidth="1"/>
    <col min="6" max="6" width="14.85546875" style="112" customWidth="1"/>
    <col min="7" max="7" width="13.140625" style="112" customWidth="1"/>
    <col min="8" max="8" width="16.140625" style="112" customWidth="1"/>
    <col min="9" max="9" width="14.42578125" style="112" customWidth="1"/>
    <col min="10" max="10" width="8.85546875" style="111"/>
    <col min="11" max="16384" width="8.85546875" style="110"/>
  </cols>
  <sheetData>
    <row r="2" spans="1:10" ht="32.25">
      <c r="B2" s="361"/>
      <c r="C2" s="361" t="s">
        <v>531</v>
      </c>
      <c r="D2" s="121">
        <f>Input!C4</f>
        <v>0</v>
      </c>
      <c r="E2" s="122"/>
      <c r="F2" s="122"/>
      <c r="G2" s="122"/>
      <c r="H2" s="122"/>
      <c r="I2" s="122"/>
    </row>
    <row r="3" spans="1:10" ht="14.45" customHeight="1">
      <c r="C3" s="113"/>
    </row>
    <row r="4" spans="1:10" ht="61.7" customHeight="1">
      <c r="C4" s="516" t="s">
        <v>530</v>
      </c>
      <c r="D4" s="515" t="s">
        <v>479</v>
      </c>
      <c r="E4" s="516"/>
      <c r="F4" s="515" t="s">
        <v>480</v>
      </c>
      <c r="G4" s="516"/>
      <c r="H4" s="517" t="s">
        <v>491</v>
      </c>
      <c r="I4" s="518"/>
    </row>
    <row r="5" spans="1:10" ht="58.7" customHeight="1">
      <c r="B5" s="305" t="s">
        <v>218</v>
      </c>
      <c r="C5" s="519"/>
      <c r="D5" s="118" t="s">
        <v>464</v>
      </c>
      <c r="E5" s="119" t="s">
        <v>465</v>
      </c>
      <c r="F5" s="118" t="s">
        <v>466</v>
      </c>
      <c r="G5" s="119" t="s">
        <v>467</v>
      </c>
      <c r="H5" s="118" t="s">
        <v>477</v>
      </c>
      <c r="I5" s="117" t="s">
        <v>468</v>
      </c>
    </row>
    <row r="6" spans="1:10" ht="17.100000000000001" customHeight="1">
      <c r="B6" s="306" t="s">
        <v>526</v>
      </c>
      <c r="C6" s="298" t="e">
        <f>TonnageImpacts!C13</f>
        <v>#N/A</v>
      </c>
      <c r="D6" s="278" t="e">
        <f>TonnageImpacts!D13</f>
        <v>#N/A</v>
      </c>
      <c r="E6" s="277" t="e">
        <f>TonnageImpacts!E13</f>
        <v>#N/A</v>
      </c>
      <c r="F6" s="278" t="e">
        <f>TonnageImpacts!F13</f>
        <v>#N/A</v>
      </c>
      <c r="G6" s="277" t="e">
        <f>TonnageImpacts!G13</f>
        <v>#N/A</v>
      </c>
      <c r="H6" s="278" t="e">
        <f>TonnageImpacts!H13</f>
        <v>#N/A</v>
      </c>
      <c r="I6" s="279" t="e">
        <f>TonnageImpacts!I13</f>
        <v>#N/A</v>
      </c>
    </row>
    <row r="7" spans="1:10" ht="28.5" customHeight="1">
      <c r="B7" s="306" t="s">
        <v>527</v>
      </c>
      <c r="C7" s="298" t="e">
        <f>(C6*2000)/Input!$C$8</f>
        <v>#N/A</v>
      </c>
      <c r="D7" s="278" t="e">
        <f>(D6*2000)/Input!$C$8</f>
        <v>#N/A</v>
      </c>
      <c r="E7" s="277" t="e">
        <f>(E6*2000)/Input!$C$8</f>
        <v>#N/A</v>
      </c>
      <c r="F7" s="278" t="e">
        <f>(F6*2000)/Input!$C$8</f>
        <v>#N/A</v>
      </c>
      <c r="G7" s="277" t="e">
        <f>(G6*2000)/Input!$C$8</f>
        <v>#N/A</v>
      </c>
      <c r="H7" s="278" t="e">
        <f>(H6*2000)/Input!$C$8</f>
        <v>#N/A</v>
      </c>
      <c r="I7" s="279" t="e">
        <f>(I6*2000)/Input!$C$8</f>
        <v>#N/A</v>
      </c>
    </row>
    <row r="8" spans="1:10" ht="17.100000000000001" customHeight="1">
      <c r="B8" s="307" t="s">
        <v>430</v>
      </c>
      <c r="C8" s="281"/>
      <c r="D8" s="280"/>
      <c r="E8" s="281"/>
      <c r="F8" s="280"/>
      <c r="G8" s="281"/>
      <c r="H8" s="280"/>
      <c r="I8" s="282"/>
    </row>
    <row r="9" spans="1:10" ht="17.100000000000001" customHeight="1">
      <c r="B9" s="306" t="s">
        <v>533</v>
      </c>
      <c r="C9" s="304" t="e">
        <f>Outputs!C10</f>
        <v>#N/A</v>
      </c>
      <c r="D9" s="284" t="e">
        <f>Outputs!D10</f>
        <v>#N/A</v>
      </c>
      <c r="E9" s="283" t="e">
        <f>Outputs!E10</f>
        <v>#N/A</v>
      </c>
      <c r="F9" s="284" t="e">
        <f>Outputs!F10</f>
        <v>#N/A</v>
      </c>
      <c r="G9" s="283" t="e">
        <f>Outputs!G10</f>
        <v>#N/A</v>
      </c>
      <c r="H9" s="284" t="e">
        <f>Outputs!H10</f>
        <v>#N/A</v>
      </c>
      <c r="I9" s="285" t="e">
        <f>Outputs!I10</f>
        <v>#N/A</v>
      </c>
    </row>
    <row r="10" spans="1:10" ht="17.100000000000001" customHeight="1">
      <c r="B10" s="306" t="s">
        <v>534</v>
      </c>
      <c r="C10" s="304" t="e">
        <f>ROUND(Outputs!C14,-2)</f>
        <v>#N/A</v>
      </c>
      <c r="D10" s="284" t="e">
        <f>ROUND(Outputs!D14,-2)</f>
        <v>#N/A</v>
      </c>
      <c r="E10" s="283" t="e">
        <f>ROUND(Outputs!E14,-2)</f>
        <v>#N/A</v>
      </c>
      <c r="F10" s="284" t="e">
        <f>ROUND(Outputs!F14,-2)</f>
        <v>#N/A</v>
      </c>
      <c r="G10" s="283" t="e">
        <f>ROUND(Outputs!G14,-2)</f>
        <v>#N/A</v>
      </c>
      <c r="H10" s="284" t="e">
        <f>ROUND(Outputs!H14,-2)</f>
        <v>#N/A</v>
      </c>
      <c r="I10" s="285" t="e">
        <f>ROUND(Outputs!I14,-2)</f>
        <v>#N/A</v>
      </c>
    </row>
    <row r="11" spans="1:10" ht="17.100000000000001" customHeight="1">
      <c r="B11" s="306" t="s">
        <v>535</v>
      </c>
      <c r="C11" s="304" t="e">
        <f>ROUND((C9/Input!$C$8),1)</f>
        <v>#N/A</v>
      </c>
      <c r="D11" s="284" t="e">
        <f>ROUND((D9/Input!$C$8),1)</f>
        <v>#N/A</v>
      </c>
      <c r="E11" s="283" t="e">
        <f>ROUND((E9/Input!$C$8),1)</f>
        <v>#N/A</v>
      </c>
      <c r="F11" s="284" t="e">
        <f>ROUND((F9/Input!$C$8),1)</f>
        <v>#N/A</v>
      </c>
      <c r="G11" s="283" t="e">
        <f>ROUND((G9/Input!$C$8),1)</f>
        <v>#N/A</v>
      </c>
      <c r="H11" s="284" t="e">
        <f>ROUND((H9/Input!$C$8),1)</f>
        <v>#N/A</v>
      </c>
      <c r="I11" s="285" t="e">
        <f>ROUND((I9/Input!$C$8),1)</f>
        <v>#N/A</v>
      </c>
    </row>
    <row r="12" spans="1:10" ht="17.100000000000001" customHeight="1">
      <c r="B12" s="306" t="s">
        <v>536</v>
      </c>
      <c r="C12" s="304" t="e">
        <f t="shared" ref="C12:I12" si="0">ROUND(C9/C6,0)</f>
        <v>#N/A</v>
      </c>
      <c r="D12" s="284" t="e">
        <f t="shared" si="0"/>
        <v>#N/A</v>
      </c>
      <c r="E12" s="283" t="e">
        <f t="shared" si="0"/>
        <v>#N/A</v>
      </c>
      <c r="F12" s="284" t="e">
        <f t="shared" si="0"/>
        <v>#N/A</v>
      </c>
      <c r="G12" s="283" t="e">
        <f t="shared" si="0"/>
        <v>#N/A</v>
      </c>
      <c r="H12" s="284" t="e">
        <f t="shared" si="0"/>
        <v>#N/A</v>
      </c>
      <c r="I12" s="285" t="e">
        <f t="shared" si="0"/>
        <v>#N/A</v>
      </c>
    </row>
    <row r="13" spans="1:10" ht="17.100000000000001" customHeight="1">
      <c r="B13" s="306" t="s">
        <v>537</v>
      </c>
      <c r="C13" s="304" t="e">
        <f>Outputs!C15</f>
        <v>#N/A</v>
      </c>
      <c r="D13" s="284" t="e">
        <f>Outputs!D15</f>
        <v>#N/A</v>
      </c>
      <c r="E13" s="283" t="e">
        <f>Outputs!E15</f>
        <v>#N/A</v>
      </c>
      <c r="F13" s="284" t="e">
        <f>Outputs!F15</f>
        <v>#N/A</v>
      </c>
      <c r="G13" s="283" t="e">
        <f>Outputs!G15</f>
        <v>#N/A</v>
      </c>
      <c r="H13" s="284" t="e">
        <f>Outputs!H15</f>
        <v>#N/A</v>
      </c>
      <c r="I13" s="285" t="e">
        <f>Outputs!I15</f>
        <v>#N/A</v>
      </c>
    </row>
    <row r="14" spans="1:10" ht="17.100000000000001" customHeight="1">
      <c r="A14" s="8"/>
      <c r="B14" s="116"/>
      <c r="C14" s="114"/>
      <c r="D14" s="114"/>
      <c r="E14" s="114"/>
      <c r="F14" s="114"/>
      <c r="G14" s="114"/>
      <c r="H14" s="114"/>
      <c r="I14" s="114"/>
      <c r="J14" s="101"/>
    </row>
    <row r="15" spans="1:10" ht="23.1" customHeight="1">
      <c r="B15" s="309" t="s">
        <v>522</v>
      </c>
      <c r="C15" s="308"/>
      <c r="D15" s="120"/>
      <c r="E15" s="120"/>
      <c r="F15" s="120"/>
      <c r="G15" s="120"/>
      <c r="H15" s="120"/>
      <c r="I15" s="120"/>
    </row>
    <row r="16" spans="1:10" ht="29.1" customHeight="1">
      <c r="B16" s="306" t="s">
        <v>538</v>
      </c>
      <c r="C16" s="278" t="e">
        <f>Outputs!C23</f>
        <v>#N/A</v>
      </c>
      <c r="D16" s="279" t="e">
        <f>Outputs!D23</f>
        <v>#N/A</v>
      </c>
      <c r="E16" s="279" t="e">
        <f>Outputs!E23</f>
        <v>#N/A</v>
      </c>
      <c r="F16" s="279" t="e">
        <f>Outputs!F23</f>
        <v>#N/A</v>
      </c>
      <c r="G16" s="279" t="e">
        <f>Outputs!G23</f>
        <v>#N/A</v>
      </c>
      <c r="H16" s="279" t="e">
        <f>Outputs!H23</f>
        <v>#N/A</v>
      </c>
      <c r="I16" s="279" t="e">
        <f>Outputs!I23</f>
        <v>#N/A</v>
      </c>
    </row>
    <row r="17" spans="2:9" ht="17.100000000000001" customHeight="1">
      <c r="B17" s="306" t="s">
        <v>539</v>
      </c>
      <c r="C17" s="278" t="e">
        <f>Outputs!C37+Outputs!C38</f>
        <v>#N/A</v>
      </c>
      <c r="D17" s="279" t="e">
        <f>Outputs!D37+Outputs!D38</f>
        <v>#N/A</v>
      </c>
      <c r="E17" s="279" t="e">
        <f>Outputs!E37+Outputs!E38</f>
        <v>#N/A</v>
      </c>
      <c r="F17" s="279" t="e">
        <f>Outputs!F37+Outputs!F38</f>
        <v>#N/A</v>
      </c>
      <c r="G17" s="279" t="e">
        <f>Outputs!G37+Outputs!G38</f>
        <v>#N/A</v>
      </c>
      <c r="H17" s="279" t="e">
        <f>Outputs!H37+Outputs!H38</f>
        <v>#N/A</v>
      </c>
      <c r="I17" s="279" t="e">
        <f>Outputs!I37+Outputs!I38</f>
        <v>#N/A</v>
      </c>
    </row>
    <row r="18" spans="2:9" ht="17.100000000000001" customHeight="1">
      <c r="B18" s="306" t="s">
        <v>540</v>
      </c>
      <c r="C18" s="278">
        <f>Outputs!C29</f>
        <v>0</v>
      </c>
      <c r="D18" s="285" t="s">
        <v>556</v>
      </c>
      <c r="E18" s="285" t="s">
        <v>556</v>
      </c>
      <c r="F18" s="285" t="s">
        <v>556</v>
      </c>
      <c r="G18" s="285" t="s">
        <v>556</v>
      </c>
      <c r="H18" s="285" t="s">
        <v>556</v>
      </c>
      <c r="I18" s="285" t="s">
        <v>556</v>
      </c>
    </row>
    <row r="19" spans="2:9" ht="29.1" customHeight="1">
      <c r="B19" s="306" t="s">
        <v>541</v>
      </c>
      <c r="C19" s="284" t="e">
        <f>ROUND(Outputs!C25,-2)</f>
        <v>#N/A</v>
      </c>
      <c r="D19" s="285" t="e">
        <f>ROUND(Outputs!D25,-2)</f>
        <v>#N/A</v>
      </c>
      <c r="E19" s="285" t="e">
        <f>ROUND(Outputs!E25,-2)</f>
        <v>#N/A</v>
      </c>
      <c r="F19" s="285" t="e">
        <f>ROUND(Outputs!F25,-2)</f>
        <v>#N/A</v>
      </c>
      <c r="G19" s="285" t="e">
        <f>ROUND(Outputs!G25,-2)</f>
        <v>#N/A</v>
      </c>
      <c r="H19" s="285" t="e">
        <f>ROUND(Outputs!H25,-2)</f>
        <v>#N/A</v>
      </c>
      <c r="I19" s="285" t="e">
        <f>ROUND(Outputs!I25,-2)</f>
        <v>#N/A</v>
      </c>
    </row>
    <row r="20" spans="2:9" ht="17.100000000000001" customHeight="1">
      <c r="B20" s="306" t="s">
        <v>542</v>
      </c>
      <c r="C20" s="284" t="s">
        <v>555</v>
      </c>
      <c r="D20" s="285" t="e">
        <f>ROUND(Outputs!D18,-2)</f>
        <v>#N/A</v>
      </c>
      <c r="E20" s="285" t="e">
        <f>ROUND(Outputs!E18,-2)</f>
        <v>#N/A</v>
      </c>
      <c r="F20" s="285" t="e">
        <f>ROUND(Outputs!F18,-2)</f>
        <v>#N/A</v>
      </c>
      <c r="G20" s="285" t="e">
        <f>ROUND(Outputs!G18,-2)</f>
        <v>#N/A</v>
      </c>
      <c r="H20" s="285" t="e">
        <f>ROUND(Outputs!H18,-2)</f>
        <v>#N/A</v>
      </c>
      <c r="I20" s="285" t="e">
        <f>ROUND(Outputs!I18,-2)</f>
        <v>#N/A</v>
      </c>
    </row>
    <row r="21" spans="2:9" ht="17.100000000000001" customHeight="1">
      <c r="B21" s="431" t="s">
        <v>554</v>
      </c>
      <c r="C21" s="432" t="e">
        <f>ROUND(Outputs!C33,-2)+ROUND(Outputs!C18,-2)</f>
        <v>#N/A</v>
      </c>
      <c r="D21" s="285" t="s">
        <v>556</v>
      </c>
      <c r="E21" s="285" t="s">
        <v>556</v>
      </c>
      <c r="F21" s="285" t="s">
        <v>556</v>
      </c>
      <c r="G21" s="285" t="s">
        <v>556</v>
      </c>
      <c r="H21" s="285" t="s">
        <v>556</v>
      </c>
      <c r="I21" s="285" t="s">
        <v>556</v>
      </c>
    </row>
  </sheetData>
  <sheetProtection algorithmName="SHA-512" hashValue="D73SrhKwl8LvhryP6I4EyT+cyADmd3tcoZq4rOyiEzXZRoW8WtrCTfLZY3qjBLxdi8xO5tzdCQqjkvlZwePBug==" saltValue="0bIN/d9jtIdV4Jr4+y8wjQ==" spinCount="100000" sheet="1" objects="1" scenarios="1"/>
  <customSheetViews>
    <customSheetView guid="{C6E026A6-065F-4BC7-8A1C-5537BAE31A06}" showGridLines="0" showRowCol="0" fitToPage="1">
      <selection activeCell="D8" sqref="D8"/>
      <pageMargins left="0.7" right="0.7" top="0.75" bottom="0.75" header="0.3" footer="0.3"/>
      <pageSetup scale="88" fitToHeight="0" orientation="landscape" horizontalDpi="4294967293" verticalDpi="0" r:id="rId1"/>
    </customSheetView>
    <customSheetView guid="{C1E42E27-80DF-5D46-A74B-2BA4AA86045C}" showGridLines="0" showRowCol="0" fitToPage="1">
      <selection activeCell="D8" sqref="D8"/>
      <pageMargins left="0.7" right="0.7" top="0.75" bottom="0.75" header="0.3" footer="0.3"/>
      <pageSetup scale="88" fitToHeight="0" orientation="landscape" horizontalDpi="4294967293" verticalDpi="0" r:id="rId2"/>
    </customSheetView>
  </customSheetViews>
  <mergeCells count="4">
    <mergeCell ref="D4:E4"/>
    <mergeCell ref="F4:G4"/>
    <mergeCell ref="H4:I4"/>
    <mergeCell ref="C4:C5"/>
  </mergeCells>
  <pageMargins left="0.7" right="0.7" top="0.75" bottom="0.75" header="0.3" footer="0.3"/>
  <pageSetup scale="88" fitToHeight="0" orientation="landscape" horizontalDpi="4294967293" verticalDpi="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4"/>
  <sheetViews>
    <sheetView showGridLines="0" showRowColHeaders="0" topLeftCell="A15" zoomScale="110" zoomScaleNormal="110" zoomScalePageLayoutView="110" workbookViewId="0">
      <selection activeCell="A41" sqref="A41"/>
    </sheetView>
  </sheetViews>
  <sheetFormatPr defaultColWidth="8.85546875" defaultRowHeight="12.75"/>
  <cols>
    <col min="1" max="1" width="3.140625" style="110" customWidth="1"/>
    <col min="2" max="2" width="48" style="112" customWidth="1"/>
    <col min="3" max="3" width="19.42578125" style="112" customWidth="1"/>
    <col min="4" max="4" width="14.85546875" style="112" customWidth="1"/>
    <col min="5" max="5" width="13.85546875" style="112" customWidth="1"/>
    <col min="6" max="6" width="9.140625" style="110" bestFit="1" customWidth="1"/>
    <col min="7" max="16384" width="8.85546875" style="110"/>
  </cols>
  <sheetData>
    <row r="1" spans="2:5">
      <c r="B1" s="286"/>
      <c r="C1" s="286"/>
      <c r="D1" s="286"/>
      <c r="E1" s="286"/>
    </row>
    <row r="2" spans="2:5" ht="36">
      <c r="B2" s="361"/>
      <c r="C2" s="513" t="s">
        <v>627</v>
      </c>
      <c r="D2" s="310">
        <f>Input!C4</f>
        <v>0</v>
      </c>
      <c r="E2" s="312"/>
    </row>
    <row r="3" spans="2:5">
      <c r="B3" s="286"/>
      <c r="C3" s="496"/>
      <c r="D3" s="496"/>
      <c r="E3" s="496"/>
    </row>
    <row r="4" spans="2:5" ht="45.75" customHeight="1">
      <c r="B4" s="495" t="s">
        <v>0</v>
      </c>
      <c r="C4" s="494"/>
      <c r="D4" s="494"/>
      <c r="E4" s="494"/>
    </row>
    <row r="5" spans="2:5" ht="15">
      <c r="B5" s="510" t="s">
        <v>621</v>
      </c>
      <c r="C5" s="520"/>
      <c r="D5" s="521"/>
      <c r="E5" s="521"/>
    </row>
    <row r="6" spans="2:5">
      <c r="B6" s="489" t="s">
        <v>558</v>
      </c>
      <c r="C6" s="490"/>
      <c r="D6" s="512" t="e">
        <f>HLOOKUP(C5,Outputs!C5:I6, 2, FALSE)</f>
        <v>#N/A</v>
      </c>
      <c r="E6" s="435"/>
    </row>
    <row r="7" spans="2:5">
      <c r="B7" s="434"/>
      <c r="C7" s="286"/>
      <c r="D7" s="286"/>
      <c r="E7" s="286"/>
    </row>
    <row r="8" spans="2:5" ht="46.35" customHeight="1">
      <c r="B8" s="302" t="s">
        <v>218</v>
      </c>
      <c r="C8" s="363" t="s">
        <v>615</v>
      </c>
      <c r="D8" s="362" t="s">
        <v>622</v>
      </c>
      <c r="E8" s="362" t="s">
        <v>623</v>
      </c>
    </row>
    <row r="9" spans="2:5" ht="17.100000000000001" customHeight="1">
      <c r="B9" s="303" t="s">
        <v>592</v>
      </c>
      <c r="C9" s="525" t="e">
        <f>IF(Input!C22="15 miles or less (one way) (default)","$0",HLOOKUP($C$5,Outputs!$C$5:$I$65,58, FALSE))</f>
        <v>#N/A</v>
      </c>
      <c r="D9" s="484" t="e">
        <f>HLOOKUP($C$5,Outputs!$C$5:$I$60, 46, FALSE)</f>
        <v>#N/A</v>
      </c>
      <c r="E9" s="484" t="e">
        <f>IF(D6&lt;10500,"NOT FEASIBLE",HLOOKUP($C$5,Outputs!$C$5:$I$60,54, FALSE))</f>
        <v>#N/A</v>
      </c>
    </row>
    <row r="10" spans="2:5" ht="17.100000000000001" customHeight="1">
      <c r="B10" s="303" t="s">
        <v>559</v>
      </c>
      <c r="C10" s="525" t="e">
        <f>IF(C9="0","$0",C11/Input!C8)</f>
        <v>#N/A</v>
      </c>
      <c r="D10" s="484" t="e">
        <f>HLOOKUP($C$5,Outputs!$C$5:$I$60,47, FALSE)</f>
        <v>#N/A</v>
      </c>
      <c r="E10" s="484" t="e">
        <f>IF(D6&lt;10500,"NOT FEASIBLE",HLOOKUP($C$5,Outputs!$C$5:$I$60,53, FALSE))</f>
        <v>#N/A</v>
      </c>
    </row>
    <row r="11" spans="2:5" ht="17.100000000000001" customHeight="1">
      <c r="B11" s="433" t="s">
        <v>591</v>
      </c>
      <c r="C11" s="525" t="e">
        <f>IF(C9="0","$0",C9*D6)</f>
        <v>#N/A</v>
      </c>
      <c r="D11" s="484" t="e">
        <f>D6*D9</f>
        <v>#N/A</v>
      </c>
      <c r="E11" s="484" t="e">
        <f>IF(D6&lt;10500,"NOT FEASIBLE",D6*E9)</f>
        <v>#N/A</v>
      </c>
    </row>
    <row r="12" spans="2:5" ht="17.100000000000001" customHeight="1">
      <c r="B12" s="297" t="s">
        <v>522</v>
      </c>
      <c r="C12" s="491"/>
      <c r="D12" s="492"/>
      <c r="E12" s="492"/>
    </row>
    <row r="13" spans="2:5" ht="17.100000000000001" customHeight="1">
      <c r="B13" s="303" t="s">
        <v>620</v>
      </c>
      <c r="C13" s="493" t="str">
        <f>C14</f>
        <v>NA</v>
      </c>
      <c r="D13" s="488">
        <f>ROUND(D14,-2)</f>
        <v>20000</v>
      </c>
      <c r="E13" s="488">
        <f>ROUND(E14,-2)</f>
        <v>10500</v>
      </c>
    </row>
    <row r="14" spans="2:5" ht="17.100000000000001" hidden="1" customHeight="1">
      <c r="B14" s="303" t="s">
        <v>560</v>
      </c>
      <c r="C14" s="486" t="s">
        <v>612</v>
      </c>
      <c r="D14" s="487">
        <f>IF(C6&gt;'Transfer MRF Assumptions'!F96,"Large Transfer",IF('Transfer MRF Assumptions'!$E$96&lt;$C$6&gt;='Transfer MRF Assumptions'!$F$96,'Transfer MRF Assumptions'!$F$96-$C$6,IF($C$6&lt;'Transfer MRF Assumptions'!$E$96,$C$6-'Transfer MRF Assumptions'!$E$96,)))</f>
        <v>20000</v>
      </c>
      <c r="E14" s="485">
        <f>IF($C$6&gt;'Transfer MRF Assumptions'!$C160,0,IF($C$6&gt;='Transfer MRF Assumptions'!$C158,'Transfer MRF Assumptions'!$C160-$C$6,IF($C$6&gt;'Transfer MRF Assumptions'!$C156,'Transfer MRF Assumptions'!$C158-$C$6,IF($C$6&gt;'Transfer MRF Assumptions'!$C154,'Transfer MRF Assumptions'!$C156-$C$6,IF($C$6&gt;'Transfer MRF Assumptions'!$C150,'Transfer MRF Assumptions'!$C154-$C$6,IF(C6&lt;'Transfer MRF Assumptions'!C150,(10500-C6)))))))</f>
        <v>10500</v>
      </c>
    </row>
  </sheetData>
  <sheetProtection algorithmName="SHA-512" hashValue="D0qwLGpTZodfXLsaQhpgwQyf9YbHq0e4OICX1XLECqNojx7LO5oMEa/HZYouhcgHbKJ9uj9I4ZZwlf+vJx6FnQ==" saltValue="aMmBRazCTws/sQBew3Ay5g==" spinCount="100000" sheet="1" objects="1" scenarios="1"/>
  <customSheetViews>
    <customSheetView guid="{C6E026A6-065F-4BC7-8A1C-5537BAE31A06}" scale="110" showGridLines="0" showRowCol="0" hiddenRows="1" topLeftCell="A45">
      <selection activeCell="C7" sqref="C7"/>
      <pageMargins left="0.7" right="0.7" top="0.75" bottom="0.75" header="0.3" footer="0.3"/>
      <pageSetup orientation="portrait" horizontalDpi="4294967293" verticalDpi="0" r:id="rId1"/>
    </customSheetView>
    <customSheetView guid="{C1E42E27-80DF-5D46-A74B-2BA4AA86045C}" scale="110" showGridLines="0" showRowCol="0" hiddenRows="1" topLeftCell="A45">
      <selection activeCell="C7" sqref="C7"/>
      <pageMargins left="0.7" right="0.7" top="0.75" bottom="0.75" header="0.3" footer="0.3"/>
      <pageSetup orientation="portrait" horizontalDpi="4294967293" verticalDpi="0" r:id="rId2"/>
    </customSheetView>
  </customSheetViews>
  <mergeCells count="1">
    <mergeCell ref="C5:E5"/>
  </mergeCells>
  <pageMargins left="0.7" right="0.7" top="0.75" bottom="0.75" header="0.3" footer="0.3"/>
  <pageSetup orientation="portrait" horizontalDpi="4294967293" verticalDpi="0"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DropDowns_LookUps!$O$2:$O$8</xm:f>
          </x14:formula1>
          <xm:sqref>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topLeftCell="A58" workbookViewId="0">
      <selection activeCell="E75" sqref="E75"/>
    </sheetView>
  </sheetViews>
  <sheetFormatPr defaultColWidth="8.85546875" defaultRowHeight="12.75"/>
  <cols>
    <col min="1" max="1" width="25.85546875" style="159" customWidth="1"/>
    <col min="2" max="2" width="17" style="159" customWidth="1"/>
    <col min="3" max="3" width="20" style="159" customWidth="1"/>
    <col min="4" max="5" width="13.140625" style="159" customWidth="1"/>
    <col min="6" max="6" width="14.85546875" style="159" customWidth="1"/>
    <col min="7" max="7" width="19.85546875" style="159" customWidth="1"/>
    <col min="8" max="8" width="13.140625" style="159" customWidth="1"/>
    <col min="9" max="9" width="8.85546875" style="159"/>
    <col min="10" max="10" width="9.42578125" style="159" customWidth="1"/>
    <col min="11" max="11" width="9.42578125" style="238" customWidth="1"/>
    <col min="12" max="13" width="8.85546875" style="159"/>
    <col min="14" max="14" width="8.140625" style="159" customWidth="1"/>
    <col min="15" max="15" width="40.42578125" style="159" customWidth="1"/>
    <col min="16" max="16384" width="8.85546875" style="159"/>
  </cols>
  <sheetData>
    <row r="1" spans="1:19">
      <c r="A1" s="228" t="s">
        <v>19</v>
      </c>
      <c r="B1" s="102"/>
      <c r="C1" s="228" t="s">
        <v>104</v>
      </c>
      <c r="D1" s="102"/>
      <c r="E1" s="228" t="s">
        <v>32</v>
      </c>
      <c r="F1" s="102"/>
      <c r="G1" s="229" t="s">
        <v>44</v>
      </c>
      <c r="H1" s="102"/>
      <c r="I1" s="229" t="s">
        <v>45</v>
      </c>
      <c r="J1" s="102"/>
      <c r="K1" s="230" t="s">
        <v>191</v>
      </c>
      <c r="M1" s="230" t="s">
        <v>193</v>
      </c>
      <c r="O1" s="228" t="s">
        <v>557</v>
      </c>
      <c r="Q1" s="228" t="s">
        <v>600</v>
      </c>
      <c r="S1" s="228"/>
    </row>
    <row r="2" spans="1:19">
      <c r="A2" s="231" t="s">
        <v>21</v>
      </c>
      <c r="B2" s="102"/>
      <c r="C2" s="232" t="s">
        <v>108</v>
      </c>
      <c r="D2" s="102"/>
      <c r="E2" s="232" t="s">
        <v>2</v>
      </c>
      <c r="F2" s="102"/>
      <c r="G2" s="232" t="s">
        <v>236</v>
      </c>
      <c r="H2" s="102"/>
      <c r="I2" s="232" t="s">
        <v>46</v>
      </c>
      <c r="J2" s="102"/>
      <c r="K2" s="224" t="s">
        <v>192</v>
      </c>
      <c r="M2" s="224" t="s">
        <v>192</v>
      </c>
      <c r="O2" s="224" t="s">
        <v>528</v>
      </c>
      <c r="Q2" s="159" t="s">
        <v>604</v>
      </c>
    </row>
    <row r="3" spans="1:19">
      <c r="A3" s="231" t="s">
        <v>25</v>
      </c>
      <c r="B3" s="233"/>
      <c r="C3" s="232" t="s">
        <v>105</v>
      </c>
      <c r="D3" s="102"/>
      <c r="E3" s="232" t="s">
        <v>3</v>
      </c>
      <c r="F3" s="102"/>
      <c r="G3" s="232" t="s">
        <v>237</v>
      </c>
      <c r="H3" s="102"/>
      <c r="I3" s="232" t="s">
        <v>47</v>
      </c>
      <c r="J3" s="102"/>
      <c r="K3" s="224" t="s">
        <v>194</v>
      </c>
      <c r="M3" s="224" t="s">
        <v>194</v>
      </c>
      <c r="O3" s="224" t="s">
        <v>464</v>
      </c>
      <c r="Q3" s="159" t="s">
        <v>601</v>
      </c>
    </row>
    <row r="4" spans="1:19">
      <c r="A4" s="231" t="s">
        <v>22</v>
      </c>
      <c r="B4" s="233"/>
      <c r="C4" s="234" t="s">
        <v>220</v>
      </c>
      <c r="D4" s="233"/>
      <c r="E4" s="234" t="s">
        <v>48</v>
      </c>
      <c r="F4" s="233"/>
      <c r="G4" s="235" t="s">
        <v>238</v>
      </c>
      <c r="H4" s="102"/>
      <c r="I4" s="102"/>
      <c r="J4" s="102"/>
      <c r="K4" s="224"/>
      <c r="M4" s="224"/>
      <c r="O4" s="224" t="s">
        <v>465</v>
      </c>
      <c r="Q4" s="159" t="s">
        <v>602</v>
      </c>
    </row>
    <row r="5" spans="1:19">
      <c r="A5" s="231" t="s">
        <v>26</v>
      </c>
      <c r="B5" s="233"/>
      <c r="C5" s="236" t="s">
        <v>106</v>
      </c>
      <c r="D5" s="233"/>
      <c r="E5" s="236" t="s">
        <v>35</v>
      </c>
      <c r="F5" s="233"/>
      <c r="G5" s="232" t="s">
        <v>239</v>
      </c>
      <c r="H5" s="102"/>
      <c r="I5" s="102"/>
      <c r="J5" s="102"/>
      <c r="K5" s="224"/>
      <c r="M5" s="237"/>
      <c r="O5" s="224" t="s">
        <v>466</v>
      </c>
      <c r="Q5" s="159" t="s">
        <v>603</v>
      </c>
    </row>
    <row r="6" spans="1:19">
      <c r="A6" s="231" t="s">
        <v>20</v>
      </c>
      <c r="B6" s="233"/>
      <c r="C6" s="236" t="s">
        <v>107</v>
      </c>
      <c r="D6" s="233"/>
      <c r="E6" s="236" t="s">
        <v>36</v>
      </c>
      <c r="F6" s="233"/>
      <c r="G6" s="102"/>
      <c r="H6" s="102"/>
      <c r="I6" s="102"/>
      <c r="J6" s="102"/>
      <c r="K6" s="237"/>
      <c r="M6" s="224"/>
      <c r="O6" s="224" t="s">
        <v>467</v>
      </c>
      <c r="Q6" s="159" t="s">
        <v>605</v>
      </c>
    </row>
    <row r="7" spans="1:19">
      <c r="A7" s="231" t="s">
        <v>27</v>
      </c>
      <c r="B7" s="233"/>
      <c r="C7" s="233"/>
      <c r="D7" s="233"/>
      <c r="E7" s="233"/>
      <c r="F7" s="233"/>
      <c r="G7" s="102"/>
      <c r="H7" s="102"/>
      <c r="I7" s="102"/>
      <c r="J7" s="102"/>
      <c r="K7" s="224"/>
      <c r="M7" s="224"/>
      <c r="O7" s="224" t="s">
        <v>477</v>
      </c>
      <c r="Q7" s="159" t="s">
        <v>606</v>
      </c>
    </row>
    <row r="8" spans="1:19">
      <c r="A8" s="231" t="s">
        <v>23</v>
      </c>
      <c r="B8" s="102"/>
      <c r="C8" s="102"/>
      <c r="D8" s="102"/>
      <c r="E8" s="102"/>
      <c r="F8" s="102"/>
      <c r="G8" s="102"/>
      <c r="H8" s="102"/>
      <c r="I8" s="102"/>
      <c r="J8" s="102"/>
      <c r="O8" s="224" t="s">
        <v>468</v>
      </c>
      <c r="Q8" s="159" t="s">
        <v>607</v>
      </c>
    </row>
    <row r="9" spans="1:19">
      <c r="A9" s="231" t="s">
        <v>28</v>
      </c>
      <c r="B9" s="102"/>
      <c r="C9" s="102"/>
      <c r="D9" s="102"/>
      <c r="E9" s="102"/>
      <c r="F9" s="102"/>
      <c r="G9" s="102"/>
      <c r="H9" s="102"/>
      <c r="I9" s="102"/>
      <c r="J9" s="102"/>
    </row>
    <row r="10" spans="1:19">
      <c r="A10" s="102"/>
      <c r="B10" s="102"/>
      <c r="C10" s="102"/>
      <c r="D10" s="102"/>
      <c r="E10" s="102"/>
      <c r="F10" s="102"/>
      <c r="G10" s="102"/>
      <c r="H10" s="102"/>
      <c r="I10" s="102"/>
      <c r="J10" s="102"/>
    </row>
    <row r="11" spans="1:19">
      <c r="A11" s="229" t="s">
        <v>33</v>
      </c>
      <c r="B11" s="102"/>
      <c r="C11" s="102"/>
      <c r="D11" s="102"/>
      <c r="E11" s="102"/>
      <c r="F11" s="102"/>
      <c r="G11" s="102"/>
      <c r="H11" s="102"/>
      <c r="I11" s="102"/>
      <c r="J11" s="102"/>
    </row>
    <row r="12" spans="1:19">
      <c r="A12" s="239" t="s">
        <v>34</v>
      </c>
      <c r="B12" s="239" t="s">
        <v>58</v>
      </c>
      <c r="C12" s="239" t="s">
        <v>7</v>
      </c>
      <c r="D12" s="239" t="s">
        <v>59</v>
      </c>
      <c r="E12" s="239" t="s">
        <v>5</v>
      </c>
      <c r="F12" s="239" t="s">
        <v>12</v>
      </c>
      <c r="G12" s="239" t="s">
        <v>6</v>
      </c>
      <c r="H12" s="240" t="s">
        <v>435</v>
      </c>
      <c r="I12" s="239" t="s">
        <v>64</v>
      </c>
      <c r="J12" s="102"/>
    </row>
    <row r="13" spans="1:19">
      <c r="A13" s="241" t="str">
        <f>C2</f>
        <v xml:space="preserve">High participation </v>
      </c>
      <c r="B13" s="236">
        <v>0.63</v>
      </c>
      <c r="C13" s="236">
        <v>0.67</v>
      </c>
      <c r="D13" s="236">
        <v>0.68</v>
      </c>
      <c r="E13" s="236">
        <v>0.72</v>
      </c>
      <c r="F13" s="236">
        <v>0.75</v>
      </c>
      <c r="G13" s="236">
        <v>0.82</v>
      </c>
      <c r="H13" s="236">
        <v>0.7</v>
      </c>
      <c r="I13" s="242">
        <v>1</v>
      </c>
      <c r="J13" s="102"/>
    </row>
    <row r="14" spans="1:19">
      <c r="A14" s="241" t="str">
        <f t="shared" ref="A14:A17" si="0">C3</f>
        <v>Medium high participation</v>
      </c>
      <c r="B14" s="236">
        <v>0.55000000000000004</v>
      </c>
      <c r="C14" s="236">
        <v>0.62</v>
      </c>
      <c r="D14" s="236">
        <v>0.57999999999999996</v>
      </c>
      <c r="E14" s="236">
        <v>0.65</v>
      </c>
      <c r="F14" s="236">
        <v>0.6</v>
      </c>
      <c r="G14" s="236">
        <v>0.7</v>
      </c>
      <c r="H14" s="236">
        <v>0.57999999999999996</v>
      </c>
      <c r="I14" s="242">
        <v>1</v>
      </c>
      <c r="J14" s="102"/>
    </row>
    <row r="15" spans="1:19">
      <c r="A15" s="241" t="str">
        <f t="shared" si="0"/>
        <v>Medium participation (Default)</v>
      </c>
      <c r="B15" s="236">
        <v>0.45</v>
      </c>
      <c r="C15" s="236">
        <f t="shared" ref="C15" si="1">C13-0.15</f>
        <v>0.52</v>
      </c>
      <c r="D15" s="236">
        <v>0.5</v>
      </c>
      <c r="E15" s="236">
        <f>E13-0.15</f>
        <v>0.56999999999999995</v>
      </c>
      <c r="F15" s="236">
        <v>0.57999999999999996</v>
      </c>
      <c r="G15" s="236">
        <v>0.66</v>
      </c>
      <c r="H15" s="236">
        <v>0.5</v>
      </c>
      <c r="I15" s="242">
        <v>1</v>
      </c>
      <c r="J15" s="102"/>
    </row>
    <row r="16" spans="1:19">
      <c r="A16" s="241" t="str">
        <f t="shared" si="0"/>
        <v>Medium low</v>
      </c>
      <c r="B16" s="236">
        <f>B14-0.18</f>
        <v>0.37000000000000005</v>
      </c>
      <c r="C16" s="236">
        <f t="shared" ref="C16:G16" si="2">C14-0.18</f>
        <v>0.44</v>
      </c>
      <c r="D16" s="236">
        <f t="shared" si="2"/>
        <v>0.39999999999999997</v>
      </c>
      <c r="E16" s="236">
        <f t="shared" si="2"/>
        <v>0.47000000000000003</v>
      </c>
      <c r="F16" s="236">
        <f>F14-0.18</f>
        <v>0.42</v>
      </c>
      <c r="G16" s="236">
        <f t="shared" si="2"/>
        <v>0.52</v>
      </c>
      <c r="H16" s="236">
        <f t="shared" ref="H16" si="3">H14-0.18</f>
        <v>0.39999999999999997</v>
      </c>
      <c r="I16" s="242">
        <v>1</v>
      </c>
      <c r="J16" s="102"/>
    </row>
    <row r="17" spans="1:11">
      <c r="A17" s="241" t="str">
        <f t="shared" si="0"/>
        <v>Low</v>
      </c>
      <c r="B17" s="236">
        <f>B16-0.18</f>
        <v>0.19000000000000006</v>
      </c>
      <c r="C17" s="236">
        <f t="shared" ref="C17:G17" si="4">C16-0.18</f>
        <v>0.26</v>
      </c>
      <c r="D17" s="236">
        <f t="shared" si="4"/>
        <v>0.21999999999999997</v>
      </c>
      <c r="E17" s="236">
        <f t="shared" si="4"/>
        <v>0.29000000000000004</v>
      </c>
      <c r="F17" s="236">
        <v>0.3</v>
      </c>
      <c r="G17" s="236">
        <f t="shared" si="4"/>
        <v>0.34</v>
      </c>
      <c r="H17" s="236">
        <f t="shared" ref="H17" si="5">H16-0.18</f>
        <v>0.21999999999999997</v>
      </c>
      <c r="I17" s="242">
        <v>1</v>
      </c>
      <c r="J17" s="102"/>
    </row>
    <row r="18" spans="1:11">
      <c r="A18" s="102"/>
      <c r="B18" s="102"/>
      <c r="C18" s="102"/>
      <c r="D18" s="102"/>
      <c r="E18" s="102"/>
      <c r="F18" s="102"/>
      <c r="G18" s="102"/>
      <c r="H18" s="102"/>
      <c r="I18" s="102"/>
      <c r="J18" s="102"/>
    </row>
    <row r="19" spans="1:11">
      <c r="A19" s="229" t="s">
        <v>37</v>
      </c>
      <c r="B19" s="102"/>
      <c r="C19" s="102"/>
      <c r="D19" s="102"/>
      <c r="F19" s="102" t="s">
        <v>434</v>
      </c>
      <c r="J19" s="238"/>
    </row>
    <row r="20" spans="1:11" ht="71.25">
      <c r="A20" s="239" t="s">
        <v>34</v>
      </c>
      <c r="B20" s="239" t="s">
        <v>40</v>
      </c>
      <c r="C20" s="243" t="s">
        <v>38</v>
      </c>
      <c r="D20" s="243" t="s">
        <v>39</v>
      </c>
      <c r="F20" s="239" t="s">
        <v>433</v>
      </c>
      <c r="G20" s="239" t="s">
        <v>445</v>
      </c>
      <c r="H20" s="244" t="s">
        <v>442</v>
      </c>
      <c r="I20" s="244" t="s">
        <v>459</v>
      </c>
      <c r="J20" s="244" t="s">
        <v>460</v>
      </c>
      <c r="K20" s="245" t="s">
        <v>509</v>
      </c>
    </row>
    <row r="21" spans="1:11">
      <c r="A21" s="241" t="str">
        <f>E2</f>
        <v>Urban</v>
      </c>
      <c r="B21" s="246">
        <f>B22*0.85</f>
        <v>361.25</v>
      </c>
      <c r="C21" s="246" t="s">
        <v>493</v>
      </c>
      <c r="D21" s="246">
        <v>560</v>
      </c>
      <c r="F21" s="246">
        <v>40000</v>
      </c>
      <c r="G21" s="247">
        <v>8</v>
      </c>
      <c r="H21" s="246">
        <v>240</v>
      </c>
      <c r="I21" s="248">
        <f>H21/5</f>
        <v>48</v>
      </c>
      <c r="J21" s="246">
        <v>5</v>
      </c>
      <c r="K21" s="224">
        <v>5</v>
      </c>
    </row>
    <row r="22" spans="1:11">
      <c r="A22" s="241" t="str">
        <f t="shared" ref="A22:A25" si="6">E3</f>
        <v>Urban / Suburban</v>
      </c>
      <c r="B22" s="246">
        <v>425</v>
      </c>
      <c r="C22" s="246" t="s">
        <v>493</v>
      </c>
      <c r="D22" s="246">
        <v>615</v>
      </c>
      <c r="E22" s="159">
        <f>900-550</f>
        <v>350</v>
      </c>
      <c r="F22" s="246">
        <v>20000</v>
      </c>
      <c r="G22" s="247">
        <v>4</v>
      </c>
      <c r="H22" s="246">
        <v>120</v>
      </c>
      <c r="I22" s="248">
        <f t="shared" ref="I22:I25" si="7">H22/5</f>
        <v>24</v>
      </c>
      <c r="J22" s="246">
        <v>4</v>
      </c>
      <c r="K22" s="224">
        <v>7</v>
      </c>
    </row>
    <row r="23" spans="1:11">
      <c r="A23" s="241" t="str">
        <f t="shared" si="6"/>
        <v>Suburban (Default)</v>
      </c>
      <c r="B23" s="246">
        <f>B21*0.85</f>
        <v>307.0625</v>
      </c>
      <c r="C23" s="246" t="s">
        <v>493</v>
      </c>
      <c r="D23" s="246">
        <v>515</v>
      </c>
      <c r="F23" s="246">
        <v>10000</v>
      </c>
      <c r="G23" s="247">
        <v>2</v>
      </c>
      <c r="H23" s="246">
        <v>60</v>
      </c>
      <c r="I23" s="248">
        <f t="shared" si="7"/>
        <v>12</v>
      </c>
      <c r="J23" s="246">
        <v>4</v>
      </c>
      <c r="K23" s="224">
        <v>10</v>
      </c>
    </row>
    <row r="24" spans="1:11">
      <c r="A24" s="241" t="str">
        <f t="shared" si="6"/>
        <v>Rural / Suburban</v>
      </c>
      <c r="B24" s="246">
        <f>B23*0.88</f>
        <v>270.21499999999997</v>
      </c>
      <c r="C24" s="246" t="s">
        <v>493</v>
      </c>
      <c r="D24" s="246">
        <f>D23*0.85</f>
        <v>437.75</v>
      </c>
      <c r="F24" s="246">
        <v>5000</v>
      </c>
      <c r="G24" s="247">
        <v>1</v>
      </c>
      <c r="H24" s="246">
        <v>30</v>
      </c>
      <c r="I24" s="248">
        <f t="shared" si="7"/>
        <v>6</v>
      </c>
      <c r="J24" s="246">
        <v>3</v>
      </c>
      <c r="K24" s="224">
        <v>12</v>
      </c>
    </row>
    <row r="25" spans="1:11">
      <c r="A25" s="241" t="str">
        <f t="shared" si="6"/>
        <v xml:space="preserve">Rural  </v>
      </c>
      <c r="B25" s="246">
        <v>245</v>
      </c>
      <c r="C25" s="246" t="s">
        <v>493</v>
      </c>
      <c r="D25" s="246">
        <f>D24*0.85</f>
        <v>372.08749999999998</v>
      </c>
      <c r="F25" s="246">
        <v>2500</v>
      </c>
      <c r="G25" s="247">
        <v>1</v>
      </c>
      <c r="H25" s="246">
        <v>12</v>
      </c>
      <c r="I25" s="248">
        <f t="shared" si="7"/>
        <v>2.4</v>
      </c>
      <c r="J25" s="246">
        <v>3</v>
      </c>
      <c r="K25" s="224">
        <v>15</v>
      </c>
    </row>
    <row r="26" spans="1:11">
      <c r="A26" s="102"/>
      <c r="B26" s="102"/>
      <c r="C26" s="102"/>
      <c r="D26" s="102"/>
      <c r="E26" s="102"/>
      <c r="F26" s="102"/>
      <c r="G26" s="102"/>
      <c r="H26" s="102"/>
      <c r="I26" s="102"/>
      <c r="J26" s="102"/>
    </row>
    <row r="27" spans="1:11" ht="15.75">
      <c r="A27" s="222" t="s">
        <v>29</v>
      </c>
    </row>
    <row r="28" spans="1:11">
      <c r="A28" s="239" t="s">
        <v>34</v>
      </c>
      <c r="B28" s="239" t="s">
        <v>30</v>
      </c>
      <c r="C28" s="239" t="s">
        <v>196</v>
      </c>
      <c r="D28" s="239" t="s">
        <v>197</v>
      </c>
      <c r="E28" s="249" t="s">
        <v>51</v>
      </c>
      <c r="F28" s="249" t="s">
        <v>52</v>
      </c>
      <c r="G28" s="249"/>
      <c r="H28" s="249"/>
    </row>
    <row r="29" spans="1:11">
      <c r="A29" s="241" t="str">
        <f>A2</f>
        <v>Alabama</v>
      </c>
      <c r="B29" s="250">
        <f>SUMPRODUCT($B$57:$J$57,B59:J59)</f>
        <v>34.35</v>
      </c>
      <c r="C29" s="226">
        <v>-10</v>
      </c>
      <c r="D29" s="226">
        <v>-10</v>
      </c>
      <c r="E29" s="224">
        <v>1606</v>
      </c>
      <c r="F29" s="224">
        <v>2.5499999999999998</v>
      </c>
      <c r="G29" s="226"/>
      <c r="H29" s="226"/>
    </row>
    <row r="30" spans="1:11">
      <c r="A30" s="241" t="str">
        <f t="shared" ref="A30:A36" si="8">A3</f>
        <v>Florida</v>
      </c>
      <c r="B30" s="250">
        <f t="shared" ref="B30:B36" si="9">SUMPRODUCT($B$57:$J$57,B60:J60)</f>
        <v>44.595000000000006</v>
      </c>
      <c r="C30" s="226">
        <v>0</v>
      </c>
      <c r="D30" s="225">
        <v>-5</v>
      </c>
      <c r="E30" s="224">
        <v>1606</v>
      </c>
      <c r="F30" s="224">
        <v>2.61</v>
      </c>
      <c r="G30" s="226"/>
      <c r="H30" s="226"/>
    </row>
    <row r="31" spans="1:11">
      <c r="A31" s="241" t="str">
        <f t="shared" si="8"/>
        <v>Georgia</v>
      </c>
      <c r="B31" s="250">
        <f t="shared" si="9"/>
        <v>37.373333333333335</v>
      </c>
      <c r="C31" s="226">
        <v>0</v>
      </c>
      <c r="D31" s="226">
        <v>0</v>
      </c>
      <c r="E31" s="224">
        <v>1606</v>
      </c>
      <c r="F31" s="224">
        <v>2.71</v>
      </c>
      <c r="G31" s="226"/>
      <c r="H31" s="226"/>
    </row>
    <row r="32" spans="1:11">
      <c r="A32" s="241" t="str">
        <f t="shared" si="8"/>
        <v>Kentucky</v>
      </c>
      <c r="B32" s="250">
        <f t="shared" si="9"/>
        <v>39.115000000000002</v>
      </c>
      <c r="C32" s="226">
        <v>0</v>
      </c>
      <c r="D32" s="226">
        <v>0</v>
      </c>
      <c r="E32" s="224">
        <v>1606</v>
      </c>
      <c r="F32" s="224">
        <v>2.5</v>
      </c>
      <c r="G32" s="226"/>
      <c r="H32" s="226"/>
    </row>
    <row r="33" spans="1:24">
      <c r="A33" s="241" t="str">
        <f t="shared" si="8"/>
        <v>Mississippi</v>
      </c>
      <c r="B33" s="250">
        <f t="shared" si="9"/>
        <v>35</v>
      </c>
      <c r="C33" s="226">
        <v>-20</v>
      </c>
      <c r="D33" s="226">
        <v>-20</v>
      </c>
      <c r="E33" s="224">
        <v>1606</v>
      </c>
      <c r="F33" s="224">
        <v>2.65</v>
      </c>
      <c r="G33" s="226"/>
      <c r="H33" s="226"/>
    </row>
    <row r="34" spans="1:24">
      <c r="A34" s="241" t="str">
        <f t="shared" si="8"/>
        <v>North Carolina</v>
      </c>
      <c r="B34" s="250">
        <f t="shared" si="9"/>
        <v>41.571666666666665</v>
      </c>
      <c r="C34" s="226">
        <v>-5</v>
      </c>
      <c r="D34" s="225">
        <v>-5</v>
      </c>
      <c r="E34" s="224">
        <v>1606</v>
      </c>
      <c r="F34" s="224">
        <v>2.5299999999999998</v>
      </c>
      <c r="G34" s="226"/>
      <c r="H34" s="226"/>
    </row>
    <row r="35" spans="1:24">
      <c r="A35" s="241" t="str">
        <f t="shared" si="8"/>
        <v>South Carolina</v>
      </c>
      <c r="B35" s="250">
        <f t="shared" si="9"/>
        <v>39.185000000000002</v>
      </c>
      <c r="C35" s="226">
        <v>0</v>
      </c>
      <c r="D35" s="226">
        <v>0</v>
      </c>
      <c r="E35" s="224">
        <v>1606</v>
      </c>
      <c r="F35" s="224">
        <v>2.5499999999999998</v>
      </c>
      <c r="G35" s="226"/>
      <c r="H35" s="226"/>
    </row>
    <row r="36" spans="1:24">
      <c r="A36" s="241" t="str">
        <f t="shared" si="8"/>
        <v>Tenessee</v>
      </c>
      <c r="B36" s="250">
        <f t="shared" si="9"/>
        <v>37.358333333333334</v>
      </c>
      <c r="C36" s="226">
        <v>0</v>
      </c>
      <c r="D36" s="226">
        <v>0</v>
      </c>
      <c r="E36" s="224">
        <v>1606</v>
      </c>
      <c r="F36" s="224">
        <v>2.52</v>
      </c>
      <c r="G36" s="226"/>
      <c r="H36" s="226"/>
    </row>
    <row r="37" spans="1:24">
      <c r="A37" s="238"/>
      <c r="B37" s="251"/>
      <c r="C37" s="238"/>
      <c r="D37" s="238"/>
      <c r="E37" s="238"/>
      <c r="F37" s="238"/>
    </row>
    <row r="38" spans="1:24" ht="15">
      <c r="A38" s="252" t="s">
        <v>41</v>
      </c>
      <c r="B38" s="253" t="s">
        <v>222</v>
      </c>
      <c r="C38" s="254">
        <v>0.85</v>
      </c>
      <c r="D38" s="253"/>
      <c r="E38" s="253"/>
      <c r="F38" s="253">
        <v>0</v>
      </c>
      <c r="G38" s="253"/>
      <c r="H38" s="255">
        <v>0.7</v>
      </c>
      <c r="I38" s="238"/>
    </row>
    <row r="39" spans="1:24" ht="38.25">
      <c r="A39" s="239" t="s">
        <v>34</v>
      </c>
      <c r="B39" s="256" t="s">
        <v>143</v>
      </c>
      <c r="C39" s="256" t="s">
        <v>42</v>
      </c>
      <c r="D39" s="256" t="s">
        <v>144</v>
      </c>
      <c r="E39" s="256" t="s">
        <v>43</v>
      </c>
      <c r="F39" s="256" t="s">
        <v>12</v>
      </c>
      <c r="G39" s="256" t="s">
        <v>6</v>
      </c>
      <c r="H39" s="257" t="s">
        <v>435</v>
      </c>
      <c r="I39" s="102"/>
      <c r="J39" s="239" t="s">
        <v>515</v>
      </c>
      <c r="N39" s="258"/>
      <c r="O39" s="258"/>
      <c r="P39" s="258"/>
      <c r="Q39" s="258"/>
      <c r="R39" s="258"/>
      <c r="S39" s="258"/>
      <c r="T39" s="258"/>
      <c r="U39" s="258"/>
      <c r="V39" s="258"/>
    </row>
    <row r="40" spans="1:24">
      <c r="A40" s="241" t="str">
        <f>G2</f>
        <v>High (Containers are always full, only choose if you have PAYT, embedded recycling fees, or other similar advanced programs)</v>
      </c>
      <c r="B40" s="259">
        <v>12.634999999999998</v>
      </c>
      <c r="C40" s="259">
        <v>9.4770000000000003</v>
      </c>
      <c r="D40" s="259">
        <v>19.683</v>
      </c>
      <c r="E40" s="259">
        <v>13.950000000000001</v>
      </c>
      <c r="F40" s="259">
        <v>26.1</v>
      </c>
      <c r="G40" s="259">
        <v>15.3</v>
      </c>
      <c r="H40" s="259">
        <v>7.29</v>
      </c>
      <c r="I40" s="102">
        <f>H40*52</f>
        <v>379.08</v>
      </c>
      <c r="J40" s="224">
        <f>AssumptionTables!C36</f>
        <v>75</v>
      </c>
      <c r="K40" s="238" t="s">
        <v>514</v>
      </c>
      <c r="N40" s="260"/>
      <c r="O40" s="261"/>
      <c r="P40" s="261"/>
      <c r="Q40" s="261"/>
      <c r="R40" s="261"/>
      <c r="S40" s="261"/>
      <c r="T40" s="261"/>
      <c r="U40" s="261"/>
      <c r="V40" s="261"/>
      <c r="W40" s="261"/>
      <c r="X40" s="261"/>
    </row>
    <row r="41" spans="1:24">
      <c r="A41" s="241" t="str">
        <f t="shared" ref="A41:A43" si="10">G3</f>
        <v>Medium high (Containers more than half full, Communities with strong recycling programs)</v>
      </c>
      <c r="B41" s="259">
        <f t="shared" ref="B41:C43" si="11">B40*$C$38</f>
        <v>10.739749999999997</v>
      </c>
      <c r="C41" s="259">
        <f t="shared" si="11"/>
        <v>8.0554500000000004</v>
      </c>
      <c r="D41" s="259">
        <f t="shared" ref="D41:G43" si="12">D40*$C$38</f>
        <v>16.730550000000001</v>
      </c>
      <c r="E41" s="259">
        <f t="shared" si="12"/>
        <v>11.8575</v>
      </c>
      <c r="F41" s="259">
        <f t="shared" si="12"/>
        <v>22.185000000000002</v>
      </c>
      <c r="G41" s="259">
        <f t="shared" si="12"/>
        <v>13.005000000000001</v>
      </c>
      <c r="H41" s="259">
        <f>H40*$H$38</f>
        <v>5.1029999999999998</v>
      </c>
      <c r="I41" s="102">
        <f t="shared" ref="I41:I43" si="13">H41*52</f>
        <v>265.35599999999999</v>
      </c>
      <c r="J41" s="224">
        <f>AssumptionTables!C36</f>
        <v>75</v>
      </c>
      <c r="K41" s="238" t="s">
        <v>514</v>
      </c>
      <c r="N41" s="260"/>
      <c r="O41" s="261"/>
      <c r="P41" s="261"/>
      <c r="Q41" s="261"/>
      <c r="R41" s="261"/>
      <c r="S41" s="261"/>
      <c r="T41" s="261"/>
      <c r="U41" s="261"/>
      <c r="V41" s="261"/>
    </row>
    <row r="42" spans="1:24">
      <c r="A42" s="241" t="str">
        <f t="shared" si="10"/>
        <v>Medium low (Containers about half full, Default setting)</v>
      </c>
      <c r="B42" s="259">
        <f t="shared" si="11"/>
        <v>9.1287874999999978</v>
      </c>
      <c r="C42" s="259">
        <f t="shared" si="11"/>
        <v>6.8471324999999998</v>
      </c>
      <c r="D42" s="259">
        <f t="shared" si="12"/>
        <v>14.2209675</v>
      </c>
      <c r="E42" s="259">
        <f t="shared" si="12"/>
        <v>10.078875</v>
      </c>
      <c r="F42" s="259">
        <f t="shared" si="12"/>
        <v>18.857250000000001</v>
      </c>
      <c r="G42" s="259">
        <f t="shared" si="12"/>
        <v>11.05425</v>
      </c>
      <c r="H42" s="259">
        <f t="shared" ref="H42:H43" si="14">H41*$H$38</f>
        <v>3.5720999999999994</v>
      </c>
      <c r="I42" s="102">
        <f t="shared" si="13"/>
        <v>185.74919999999997</v>
      </c>
      <c r="J42" s="224">
        <f>AssumptionTables!C37</f>
        <v>30</v>
      </c>
      <c r="K42" s="238" t="s">
        <v>514</v>
      </c>
      <c r="N42" s="260"/>
      <c r="O42" s="261"/>
      <c r="P42" s="261"/>
      <c r="Q42" s="261"/>
      <c r="R42" s="261"/>
      <c r="S42" s="261"/>
      <c r="T42" s="261"/>
      <c r="U42" s="261"/>
      <c r="V42" s="261"/>
    </row>
    <row r="43" spans="1:24">
      <c r="A43" s="241" t="str">
        <f t="shared" si="10"/>
        <v>Low (Containers are less than half full, Choose if residents are unfamiliar with recycling programs)</v>
      </c>
      <c r="B43" s="259">
        <f t="shared" si="11"/>
        <v>7.7594693749999983</v>
      </c>
      <c r="C43" s="259">
        <f t="shared" si="11"/>
        <v>5.8200626249999994</v>
      </c>
      <c r="D43" s="259">
        <f t="shared" si="12"/>
        <v>12.087822375</v>
      </c>
      <c r="E43" s="259">
        <f t="shared" si="12"/>
        <v>8.5670437499999998</v>
      </c>
      <c r="F43" s="259">
        <f t="shared" si="12"/>
        <v>16.028662499999999</v>
      </c>
      <c r="G43" s="259">
        <f t="shared" si="12"/>
        <v>9.3961124999999992</v>
      </c>
      <c r="H43" s="259">
        <f t="shared" si="14"/>
        <v>2.5004699999999995</v>
      </c>
      <c r="I43" s="102">
        <f t="shared" si="13"/>
        <v>130.02443999999997</v>
      </c>
      <c r="J43" s="224">
        <f>AssumptionTables!C37</f>
        <v>30</v>
      </c>
      <c r="K43" s="238" t="s">
        <v>514</v>
      </c>
      <c r="N43" s="260"/>
      <c r="O43" s="261"/>
      <c r="P43" s="261"/>
      <c r="Q43" s="261"/>
      <c r="R43" s="261"/>
      <c r="S43" s="261"/>
      <c r="T43" s="261"/>
      <c r="U43" s="261"/>
      <c r="V43" s="261"/>
    </row>
    <row r="44" spans="1:24" ht="15">
      <c r="A44" s="252" t="s">
        <v>221</v>
      </c>
      <c r="B44" s="262"/>
      <c r="C44" s="262"/>
      <c r="D44" s="262"/>
      <c r="E44" s="262"/>
      <c r="F44" s="262"/>
      <c r="G44" s="262"/>
      <c r="H44" s="238"/>
      <c r="I44" s="102"/>
      <c r="N44" s="260"/>
      <c r="O44" s="261"/>
      <c r="P44" s="261"/>
      <c r="Q44" s="261"/>
      <c r="R44" s="261"/>
      <c r="S44" s="261"/>
      <c r="T44" s="261"/>
      <c r="U44" s="261"/>
      <c r="V44" s="261"/>
    </row>
    <row r="45" spans="1:24">
      <c r="A45" s="241" t="str">
        <f>A40</f>
        <v>High (Containers are always full, only choose if you have PAYT, embedded recycling fees, or other similar advanced programs)</v>
      </c>
      <c r="B45" s="263">
        <f>B40*26</f>
        <v>328.50999999999993</v>
      </c>
      <c r="C45" s="263">
        <f>C40*52</f>
        <v>492.80400000000003</v>
      </c>
      <c r="D45" s="263">
        <f>D40*26</f>
        <v>511.75799999999998</v>
      </c>
      <c r="E45" s="263">
        <f>E40*52</f>
        <v>725.40000000000009</v>
      </c>
      <c r="F45" s="263">
        <f>F40*26</f>
        <v>678.6</v>
      </c>
      <c r="G45" s="263">
        <f>G40*52</f>
        <v>795.6</v>
      </c>
      <c r="H45" s="263">
        <f>H40*52</f>
        <v>379.08</v>
      </c>
      <c r="I45" s="102"/>
      <c r="N45" s="260"/>
      <c r="O45" s="261"/>
      <c r="P45" s="261"/>
      <c r="Q45" s="261"/>
      <c r="R45" s="261"/>
      <c r="S45" s="261"/>
      <c r="T45" s="261"/>
      <c r="U45" s="261"/>
      <c r="V45" s="261"/>
    </row>
    <row r="46" spans="1:24">
      <c r="A46" s="241" t="str">
        <f t="shared" ref="A46:A47" si="15">A41</f>
        <v>Medium high (Containers more than half full, Communities with strong recycling programs)</v>
      </c>
      <c r="B46" s="263">
        <f t="shared" ref="B46" si="16">B41*26</f>
        <v>279.23349999999994</v>
      </c>
      <c r="C46" s="263">
        <f>C41*52</f>
        <v>418.88340000000005</v>
      </c>
      <c r="D46" s="263">
        <f t="shared" ref="D46:F47" si="17">D41*26</f>
        <v>434.99430000000001</v>
      </c>
      <c r="E46" s="263">
        <f>E41*52</f>
        <v>616.59</v>
      </c>
      <c r="F46" s="263">
        <f t="shared" si="17"/>
        <v>576.81000000000006</v>
      </c>
      <c r="G46" s="263">
        <f>G41*52</f>
        <v>676.26</v>
      </c>
      <c r="H46" s="263">
        <f t="shared" ref="H46:H47" si="18">H41*52</f>
        <v>265.35599999999999</v>
      </c>
      <c r="I46" s="102"/>
      <c r="N46" s="264"/>
      <c r="O46" s="265"/>
      <c r="P46" s="265"/>
      <c r="Q46" s="265"/>
      <c r="R46" s="265"/>
      <c r="S46" s="265"/>
      <c r="T46" s="265"/>
      <c r="U46" s="265"/>
      <c r="V46" s="265"/>
    </row>
    <row r="47" spans="1:24">
      <c r="A47" s="241" t="str">
        <f t="shared" si="15"/>
        <v>Medium low (Containers about half full, Default setting)</v>
      </c>
      <c r="B47" s="263">
        <f t="shared" ref="B47" si="19">B42*26</f>
        <v>237.34847499999995</v>
      </c>
      <c r="C47" s="263">
        <f>C42*52</f>
        <v>356.05088999999998</v>
      </c>
      <c r="D47" s="263">
        <f t="shared" si="17"/>
        <v>369.74515500000001</v>
      </c>
      <c r="E47" s="263">
        <f>E42*52</f>
        <v>524.10149999999999</v>
      </c>
      <c r="F47" s="263">
        <f t="shared" si="17"/>
        <v>490.2885</v>
      </c>
      <c r="G47" s="263">
        <f>G42*52</f>
        <v>574.82100000000003</v>
      </c>
      <c r="H47" s="263">
        <f t="shared" si="18"/>
        <v>185.74919999999997</v>
      </c>
      <c r="I47" s="102"/>
      <c r="N47" s="266"/>
      <c r="O47" s="267"/>
      <c r="P47" s="267"/>
      <c r="Q47" s="267"/>
      <c r="R47" s="267"/>
      <c r="S47" s="267"/>
      <c r="T47" s="267"/>
      <c r="U47" s="267"/>
      <c r="V47" s="267"/>
    </row>
    <row r="48" spans="1:24">
      <c r="A48" s="232" t="s">
        <v>523</v>
      </c>
      <c r="B48" s="262">
        <f>B40*2</f>
        <v>25.269999999999996</v>
      </c>
      <c r="C48" s="262">
        <f>C40*4</f>
        <v>37.908000000000001</v>
      </c>
      <c r="D48" s="262">
        <f>D40*2</f>
        <v>39.366</v>
      </c>
      <c r="E48" s="262">
        <f>E40*4</f>
        <v>55.800000000000004</v>
      </c>
      <c r="F48" s="262">
        <f>F40*2</f>
        <v>52.2</v>
      </c>
      <c r="G48" s="262">
        <f>G40*4</f>
        <v>61.2</v>
      </c>
      <c r="H48" s="238"/>
      <c r="I48" s="102"/>
      <c r="N48" s="266"/>
      <c r="O48" s="267"/>
      <c r="P48" s="267"/>
      <c r="Q48" s="267"/>
      <c r="R48" s="267"/>
      <c r="S48" s="267"/>
      <c r="T48" s="267"/>
      <c r="U48" s="267"/>
      <c r="V48" s="267"/>
    </row>
    <row r="49" spans="1:22">
      <c r="A49" s="268"/>
      <c r="B49" s="268"/>
      <c r="C49" s="268"/>
      <c r="D49" s="269">
        <f>D48/B48</f>
        <v>1.5578155916106058</v>
      </c>
      <c r="E49" s="269">
        <f t="shared" ref="E49:G49" si="20">E48/C48</f>
        <v>1.4719848053181388</v>
      </c>
      <c r="F49" s="269">
        <f>F48/D48</f>
        <v>1.3260173754000915</v>
      </c>
      <c r="G49" s="269">
        <f t="shared" si="20"/>
        <v>1.096774193548387</v>
      </c>
      <c r="H49" s="269"/>
      <c r="I49" s="102"/>
      <c r="N49" s="266"/>
      <c r="O49" s="267"/>
      <c r="P49" s="267"/>
      <c r="Q49" s="267"/>
      <c r="R49" s="267"/>
      <c r="S49" s="267"/>
      <c r="T49" s="267"/>
      <c r="U49" s="267"/>
      <c r="V49" s="267"/>
    </row>
    <row r="50" spans="1:22">
      <c r="A50" s="268"/>
      <c r="B50" s="268"/>
      <c r="C50" s="268"/>
      <c r="D50" s="268"/>
      <c r="E50" s="268"/>
      <c r="F50" s="268"/>
      <c r="G50" s="268"/>
      <c r="H50" s="238"/>
      <c r="I50" s="102"/>
      <c r="N50" s="266"/>
      <c r="O50" s="267"/>
      <c r="P50" s="267"/>
      <c r="Q50" s="267"/>
      <c r="R50" s="267"/>
      <c r="S50" s="267"/>
      <c r="T50" s="267"/>
      <c r="U50" s="267"/>
      <c r="V50" s="267"/>
    </row>
    <row r="51" spans="1:22" ht="15">
      <c r="A51" s="227" t="s">
        <v>55</v>
      </c>
      <c r="I51" s="270"/>
      <c r="N51" s="266"/>
      <c r="O51" s="267"/>
      <c r="P51" s="267"/>
      <c r="Q51" s="267"/>
      <c r="R51" s="267"/>
      <c r="S51" s="267"/>
      <c r="T51" s="267"/>
      <c r="U51" s="267"/>
      <c r="V51" s="267"/>
    </row>
    <row r="52" spans="1:22">
      <c r="A52" s="239" t="s">
        <v>34</v>
      </c>
      <c r="B52" s="239" t="s">
        <v>56</v>
      </c>
      <c r="C52" s="249" t="s">
        <v>200</v>
      </c>
    </row>
    <row r="53" spans="1:22">
      <c r="A53" s="241" t="str">
        <f>I2</f>
        <v>Yes (Default)</v>
      </c>
      <c r="B53" s="271">
        <v>1</v>
      </c>
      <c r="C53" s="224">
        <v>0</v>
      </c>
    </row>
    <row r="54" spans="1:22">
      <c r="A54" s="241" t="str">
        <f>I3</f>
        <v xml:space="preserve">No </v>
      </c>
      <c r="B54" s="272">
        <f>AssumptionTables!C15</f>
        <v>0.75</v>
      </c>
      <c r="C54" s="225">
        <f>AssumptionTables!C35</f>
        <v>2</v>
      </c>
      <c r="D54" s="159" t="s">
        <v>201</v>
      </c>
    </row>
    <row r="56" spans="1:22" ht="15.75">
      <c r="A56" s="222" t="s">
        <v>231</v>
      </c>
    </row>
    <row r="57" spans="1:22">
      <c r="A57" s="159" t="s">
        <v>230</v>
      </c>
      <c r="B57" s="223"/>
      <c r="C57" s="223"/>
      <c r="D57" s="223"/>
      <c r="E57" s="223"/>
      <c r="F57" s="223"/>
      <c r="G57" s="223"/>
      <c r="H57" s="223">
        <v>1</v>
      </c>
      <c r="I57" s="223"/>
      <c r="J57" s="223"/>
    </row>
    <row r="58" spans="1:22" ht="30.75" customHeight="1">
      <c r="A58" s="232"/>
      <c r="B58" s="273" t="s">
        <v>624</v>
      </c>
      <c r="C58" s="273" t="s">
        <v>625</v>
      </c>
      <c r="D58" s="273" t="s">
        <v>223</v>
      </c>
      <c r="E58" s="273" t="s">
        <v>224</v>
      </c>
      <c r="F58" s="273" t="s">
        <v>225</v>
      </c>
      <c r="G58" s="273" t="s">
        <v>226</v>
      </c>
      <c r="H58" s="273" t="s">
        <v>227</v>
      </c>
      <c r="I58" s="273" t="s">
        <v>228</v>
      </c>
      <c r="J58" s="273" t="s">
        <v>229</v>
      </c>
    </row>
    <row r="59" spans="1:22">
      <c r="A59" s="241" t="str">
        <f t="shared" ref="A59:A66" si="21">A29</f>
        <v>Alabama</v>
      </c>
      <c r="B59" s="274">
        <v>44.5</v>
      </c>
      <c r="C59" s="274">
        <v>26</v>
      </c>
      <c r="D59" s="274">
        <v>26</v>
      </c>
      <c r="E59" s="274">
        <v>47</v>
      </c>
      <c r="F59" s="274">
        <v>37.6</v>
      </c>
      <c r="G59" s="275">
        <v>25</v>
      </c>
      <c r="H59" s="276">
        <f>AVERAGE(B59:G59)</f>
        <v>34.35</v>
      </c>
      <c r="I59" s="276">
        <f>MAX(B59:G59)</f>
        <v>47</v>
      </c>
      <c r="J59" s="276">
        <f>MIN(B59:G59)</f>
        <v>25</v>
      </c>
    </row>
    <row r="60" spans="1:22">
      <c r="A60" s="241" t="str">
        <f t="shared" si="21"/>
        <v>Florida</v>
      </c>
      <c r="B60" s="274">
        <v>44.5</v>
      </c>
      <c r="C60" s="274">
        <v>33</v>
      </c>
      <c r="D60" s="274">
        <v>25.5</v>
      </c>
      <c r="E60" s="274">
        <v>83.92</v>
      </c>
      <c r="F60" s="274">
        <v>43.65</v>
      </c>
      <c r="G60" s="275">
        <v>37</v>
      </c>
      <c r="H60" s="276">
        <f t="shared" ref="H60:H62" si="22">AVERAGE(B60:G60)</f>
        <v>44.595000000000006</v>
      </c>
      <c r="I60" s="276">
        <f t="shared" ref="I60:I66" si="23">MAX(B60:G60)</f>
        <v>83.92</v>
      </c>
      <c r="J60" s="276">
        <f t="shared" ref="J60:J66" si="24">MIN(B60:G60)</f>
        <v>25.5</v>
      </c>
    </row>
    <row r="61" spans="1:22">
      <c r="A61" s="241" t="str">
        <f t="shared" si="21"/>
        <v>Georgia</v>
      </c>
      <c r="B61" s="274">
        <v>44.5</v>
      </c>
      <c r="C61" s="274">
        <v>31</v>
      </c>
      <c r="D61" s="274">
        <v>30.55</v>
      </c>
      <c r="E61" s="274">
        <v>45</v>
      </c>
      <c r="F61" s="274">
        <v>38.270000000000003</v>
      </c>
      <c r="G61" s="275">
        <v>34.92</v>
      </c>
      <c r="H61" s="276">
        <f t="shared" si="22"/>
        <v>37.373333333333335</v>
      </c>
      <c r="I61" s="276">
        <f t="shared" si="23"/>
        <v>45</v>
      </c>
      <c r="J61" s="276">
        <f t="shared" si="24"/>
        <v>30.55</v>
      </c>
    </row>
    <row r="62" spans="1:22">
      <c r="A62" s="241" t="str">
        <f t="shared" si="21"/>
        <v>Kentucky</v>
      </c>
      <c r="B62" s="274">
        <v>44.5</v>
      </c>
      <c r="C62" s="274">
        <v>23</v>
      </c>
      <c r="D62" s="274">
        <v>33.5</v>
      </c>
      <c r="E62" s="274">
        <v>55</v>
      </c>
      <c r="F62" s="274">
        <v>44.69</v>
      </c>
      <c r="G62" s="275">
        <v>34</v>
      </c>
      <c r="H62" s="276">
        <f t="shared" si="22"/>
        <v>39.115000000000002</v>
      </c>
      <c r="I62" s="276">
        <f t="shared" si="23"/>
        <v>55</v>
      </c>
      <c r="J62" s="276">
        <f t="shared" si="24"/>
        <v>23</v>
      </c>
    </row>
    <row r="63" spans="1:22">
      <c r="A63" s="241" t="str">
        <f t="shared" si="21"/>
        <v>Mississippi</v>
      </c>
      <c r="B63" s="274">
        <v>29.5</v>
      </c>
      <c r="C63" s="274">
        <v>34</v>
      </c>
      <c r="D63" s="274">
        <v>11</v>
      </c>
      <c r="E63" s="274">
        <v>47</v>
      </c>
      <c r="F63" s="274">
        <v>26.48</v>
      </c>
      <c r="G63" s="275">
        <v>18</v>
      </c>
      <c r="H63" s="276">
        <v>35</v>
      </c>
      <c r="I63" s="276">
        <f t="shared" si="23"/>
        <v>47</v>
      </c>
      <c r="J63" s="276">
        <f t="shared" si="24"/>
        <v>11</v>
      </c>
      <c r="K63" s="238" t="s">
        <v>232</v>
      </c>
    </row>
    <row r="64" spans="1:22">
      <c r="A64" s="241" t="str">
        <f t="shared" si="21"/>
        <v>North Carolina</v>
      </c>
      <c r="B64" s="274">
        <v>44.5</v>
      </c>
      <c r="C64" s="274">
        <v>30</v>
      </c>
      <c r="D64" s="274">
        <v>27.5</v>
      </c>
      <c r="E64" s="274">
        <v>65.84</v>
      </c>
      <c r="F64" s="274">
        <v>41.59</v>
      </c>
      <c r="G64" s="275">
        <v>40</v>
      </c>
      <c r="H64" s="276">
        <f>AVERAGE(B64:G64)</f>
        <v>41.571666666666665</v>
      </c>
      <c r="I64" s="276">
        <f t="shared" si="23"/>
        <v>65.84</v>
      </c>
      <c r="J64" s="276">
        <f t="shared" si="24"/>
        <v>27.5</v>
      </c>
    </row>
    <row r="65" spans="1:10">
      <c r="A65" s="241" t="str">
        <f t="shared" si="21"/>
        <v>South Carolina</v>
      </c>
      <c r="B65" s="274">
        <v>44.5</v>
      </c>
      <c r="C65" s="274">
        <v>35</v>
      </c>
      <c r="D65" s="274">
        <v>29</v>
      </c>
      <c r="E65" s="274">
        <v>66</v>
      </c>
      <c r="F65" s="274">
        <v>42.61</v>
      </c>
      <c r="G65" s="275">
        <v>18</v>
      </c>
      <c r="H65" s="276">
        <f t="shared" ref="H65:H66" si="25">AVERAGE(B65:G65)</f>
        <v>39.185000000000002</v>
      </c>
      <c r="I65" s="276">
        <f t="shared" si="23"/>
        <v>66</v>
      </c>
      <c r="J65" s="276">
        <f t="shared" si="24"/>
        <v>18</v>
      </c>
    </row>
    <row r="66" spans="1:10">
      <c r="A66" s="241" t="str">
        <f t="shared" si="21"/>
        <v>Tenessee</v>
      </c>
      <c r="B66" s="274">
        <v>44.5</v>
      </c>
      <c r="C66" s="274">
        <v>26</v>
      </c>
      <c r="D66" s="274">
        <v>30.5</v>
      </c>
      <c r="E66" s="274">
        <v>48</v>
      </c>
      <c r="F66" s="274">
        <v>41.15</v>
      </c>
      <c r="G66" s="275">
        <v>34</v>
      </c>
      <c r="H66" s="276">
        <f t="shared" si="25"/>
        <v>37.358333333333334</v>
      </c>
      <c r="I66" s="276">
        <f t="shared" si="23"/>
        <v>48</v>
      </c>
      <c r="J66" s="276">
        <f t="shared" si="24"/>
        <v>26</v>
      </c>
    </row>
    <row r="69" spans="1:10">
      <c r="A69" s="159" t="s">
        <v>405</v>
      </c>
    </row>
    <row r="70" spans="1:10">
      <c r="A70" s="159">
        <v>60</v>
      </c>
      <c r="C70" s="511"/>
    </row>
    <row r="71" spans="1:10">
      <c r="A71" s="159">
        <v>65</v>
      </c>
      <c r="C71" s="511"/>
    </row>
    <row r="72" spans="1:10">
      <c r="A72" s="159">
        <v>70</v>
      </c>
      <c r="C72" s="511"/>
    </row>
    <row r="73" spans="1:10">
      <c r="A73" s="159">
        <v>75</v>
      </c>
      <c r="C73" s="511"/>
    </row>
    <row r="74" spans="1:10">
      <c r="A74" s="159">
        <v>80</v>
      </c>
      <c r="C74" s="511"/>
    </row>
    <row r="75" spans="1:10">
      <c r="A75" s="159">
        <v>85</v>
      </c>
      <c r="C75" s="511"/>
    </row>
    <row r="76" spans="1:10">
      <c r="A76" s="159">
        <v>90</v>
      </c>
      <c r="C76" s="511"/>
    </row>
    <row r="77" spans="1:10">
      <c r="A77" s="159">
        <v>95</v>
      </c>
      <c r="C77" s="511"/>
    </row>
    <row r="78" spans="1:10">
      <c r="A78" s="159">
        <v>100</v>
      </c>
      <c r="C78" s="511"/>
    </row>
    <row r="79" spans="1:10">
      <c r="A79" s="159">
        <v>105</v>
      </c>
      <c r="C79" s="511"/>
    </row>
    <row r="80" spans="1:10">
      <c r="A80" s="159">
        <v>110</v>
      </c>
      <c r="C80" s="511"/>
    </row>
    <row r="81" spans="1:4">
      <c r="A81" s="159">
        <v>115</v>
      </c>
      <c r="C81" s="511"/>
    </row>
    <row r="82" spans="1:4">
      <c r="A82" s="159">
        <v>125</v>
      </c>
    </row>
    <row r="83" spans="1:4">
      <c r="A83" s="159">
        <v>135</v>
      </c>
    </row>
    <row r="84" spans="1:4">
      <c r="A84" s="159">
        <v>150</v>
      </c>
    </row>
    <row r="86" spans="1:4" ht="15.75">
      <c r="A86" s="474" t="s">
        <v>609</v>
      </c>
      <c r="B86" s="238"/>
      <c r="C86" s="238"/>
      <c r="D86" s="238"/>
    </row>
    <row r="87" spans="1:4">
      <c r="A87" s="473" t="s">
        <v>34</v>
      </c>
      <c r="B87" s="473" t="s">
        <v>608</v>
      </c>
      <c r="C87" s="102"/>
      <c r="D87" s="102"/>
    </row>
    <row r="88" spans="1:4">
      <c r="A88" s="473" t="str">
        <f t="shared" ref="A88:A94" si="26">Q2</f>
        <v>15 miles or less (one way) (default)</v>
      </c>
      <c r="B88" s="224">
        <v>8</v>
      </c>
      <c r="C88" s="238"/>
      <c r="D88" s="238"/>
    </row>
    <row r="89" spans="1:4">
      <c r="A89" s="473" t="str">
        <f t="shared" si="26"/>
        <v>16 - 30 miles (one way)</v>
      </c>
      <c r="B89" s="224">
        <v>7</v>
      </c>
      <c r="C89" s="238"/>
      <c r="D89" s="238"/>
    </row>
    <row r="90" spans="1:4">
      <c r="A90" s="473" t="str">
        <f t="shared" si="26"/>
        <v>31 to 45 miles (one way)</v>
      </c>
      <c r="B90" s="224">
        <v>6.2</v>
      </c>
      <c r="C90" s="238"/>
      <c r="D90" s="238"/>
    </row>
    <row r="91" spans="1:4">
      <c r="A91" s="473" t="str">
        <f t="shared" si="26"/>
        <v>46 - 60 miles (one way)</v>
      </c>
      <c r="B91" s="224">
        <v>5.2</v>
      </c>
      <c r="C91" s="238"/>
      <c r="D91" s="238"/>
    </row>
    <row r="92" spans="1:4">
      <c r="A92" s="473" t="str">
        <f t="shared" si="26"/>
        <v>61 - 75 miles (one way)</v>
      </c>
      <c r="B92" s="224">
        <v>4.3</v>
      </c>
      <c r="C92" s="238"/>
      <c r="D92" s="238"/>
    </row>
    <row r="93" spans="1:4">
      <c r="A93" s="473" t="str">
        <f t="shared" si="26"/>
        <v>76 - 90 miles (one way)</v>
      </c>
      <c r="B93" s="224">
        <v>3.8</v>
      </c>
      <c r="C93" s="238"/>
    </row>
    <row r="94" spans="1:4">
      <c r="A94" s="473" t="str">
        <f t="shared" si="26"/>
        <v>More than 90 miles (one way)</v>
      </c>
      <c r="B94" s="224">
        <v>2.8</v>
      </c>
      <c r="C94" s="238"/>
    </row>
  </sheetData>
  <sortState ref="K2:K7">
    <sortCondition ref="K2"/>
  </sortState>
  <customSheetViews>
    <customSheetView guid="{C6E026A6-065F-4BC7-8A1C-5537BAE31A06}" state="hidden">
      <pageMargins left="0.7" right="0.7" top="0.75" bottom="0.75" header="0.3" footer="0.3"/>
      <pageSetup orientation="portrait" horizontalDpi="4294967293" verticalDpi="0" r:id="rId1"/>
    </customSheetView>
    <customSheetView guid="{C1E42E27-80DF-5D46-A74B-2BA4AA86045C}" state="hidden">
      <pageMargins left="0.7" right="0.7" top="0.75" bottom="0.75" header="0.3" footer="0.3"/>
      <pageSetup orientation="portrait" horizontalDpi="4294967293" verticalDpi="0" r:id="rId2"/>
    </customSheetView>
    <customSheetView guid="{487CB698-FD0E-4580-BCE5-B1F3904B4ADD}">
      <selection activeCell="N17" sqref="N17"/>
      <pageMargins left="0.7" right="0.7" top="0.75" bottom="0.75" header="0.3" footer="0.3"/>
      <pageSetup orientation="portrait" horizontalDpi="4294967293" verticalDpi="0" r:id="rId3"/>
    </customSheetView>
  </customSheetViews>
  <pageMargins left="0.7" right="0.7" top="0.75" bottom="0.75" header="0.3" footer="0.3"/>
  <pageSetup orientation="portrait" horizontalDpi="4294967293" verticalDpi="0" r:id="rId4"/>
  <ignoredErrors>
    <ignoredError sqref="D46:F47 F4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workbookViewId="0"/>
  </sheetViews>
  <sheetFormatPr defaultColWidth="8.85546875" defaultRowHeight="12.75"/>
  <cols>
    <col min="1" max="1" width="3.140625" style="110" customWidth="1"/>
    <col min="2" max="2" width="42.42578125" style="112" bestFit="1" customWidth="1"/>
    <col min="3" max="5" width="13.85546875" style="112" customWidth="1"/>
    <col min="6" max="6" width="14.85546875" style="112" customWidth="1"/>
    <col min="7" max="8" width="13.85546875" style="112" customWidth="1"/>
    <col min="9" max="9" width="14" style="112" customWidth="1"/>
    <col min="10" max="16384" width="8.85546875" style="110"/>
  </cols>
  <sheetData>
    <row r="1" spans="1:9">
      <c r="A1" s="110" t="s">
        <v>520</v>
      </c>
      <c r="B1" s="286"/>
      <c r="C1" s="286"/>
      <c r="D1" s="286"/>
      <c r="E1" s="286"/>
      <c r="F1" s="286"/>
      <c r="G1" s="286"/>
      <c r="H1" s="286"/>
      <c r="I1" s="286"/>
    </row>
    <row r="2" spans="1:9" ht="36">
      <c r="B2" s="361" t="s">
        <v>532</v>
      </c>
      <c r="C2" s="310">
        <f>Input!C4</f>
        <v>0</v>
      </c>
      <c r="D2" s="311"/>
      <c r="E2" s="312"/>
      <c r="F2" s="312"/>
      <c r="G2" s="312"/>
      <c r="H2" s="312"/>
      <c r="I2" s="312"/>
    </row>
    <row r="3" spans="1:9">
      <c r="B3" s="286"/>
      <c r="C3" s="287"/>
      <c r="D3" s="286"/>
      <c r="E3" s="286"/>
      <c r="F3" s="286"/>
      <c r="G3" s="286"/>
      <c r="H3" s="286"/>
      <c r="I3" s="286"/>
    </row>
    <row r="4" spans="1:9" ht="46.35" customHeight="1">
      <c r="B4" s="290"/>
      <c r="C4" s="516" t="s">
        <v>530</v>
      </c>
      <c r="D4" s="517" t="s">
        <v>479</v>
      </c>
      <c r="E4" s="516"/>
      <c r="F4" s="515" t="s">
        <v>480</v>
      </c>
      <c r="G4" s="516"/>
      <c r="H4" s="515" t="s">
        <v>491</v>
      </c>
      <c r="I4" s="516"/>
    </row>
    <row r="5" spans="1:9" ht="48">
      <c r="B5" s="302" t="s">
        <v>218</v>
      </c>
      <c r="C5" s="519"/>
      <c r="D5" s="118" t="s">
        <v>464</v>
      </c>
      <c r="E5" s="119" t="s">
        <v>465</v>
      </c>
      <c r="F5" s="118" t="s">
        <v>466</v>
      </c>
      <c r="G5" s="119" t="s">
        <v>467</v>
      </c>
      <c r="H5" s="118" t="s">
        <v>477</v>
      </c>
      <c r="I5" s="119" t="s">
        <v>468</v>
      </c>
    </row>
    <row r="6" spans="1:9" ht="17.100000000000001" customHeight="1">
      <c r="B6" s="303" t="s">
        <v>526</v>
      </c>
      <c r="C6" s="298" t="e">
        <f>TonnageImpacts!C13</f>
        <v>#N/A</v>
      </c>
      <c r="D6" s="278" t="e">
        <f>TonnageImpacts!D13</f>
        <v>#N/A</v>
      </c>
      <c r="E6" s="277" t="e">
        <f>TonnageImpacts!E13</f>
        <v>#N/A</v>
      </c>
      <c r="F6" s="278" t="e">
        <f>TonnageImpacts!F13</f>
        <v>#N/A</v>
      </c>
      <c r="G6" s="277" t="e">
        <f>TonnageImpacts!G13</f>
        <v>#N/A</v>
      </c>
      <c r="H6" s="278" t="e">
        <f>TonnageImpacts!H13</f>
        <v>#N/A</v>
      </c>
      <c r="I6" s="277" t="e">
        <f>TonnageImpacts!I13</f>
        <v>#N/A</v>
      </c>
    </row>
    <row r="7" spans="1:9" ht="17.100000000000001" customHeight="1">
      <c r="B7" s="303" t="s">
        <v>527</v>
      </c>
      <c r="C7" s="298" t="e">
        <f>(C6*2000)/Input!$C$8</f>
        <v>#N/A</v>
      </c>
      <c r="D7" s="278" t="e">
        <f>(D6*2000)/Input!$C$8</f>
        <v>#N/A</v>
      </c>
      <c r="E7" s="277" t="e">
        <f>(E6*2000)/Input!$C$8</f>
        <v>#N/A</v>
      </c>
      <c r="F7" s="278" t="e">
        <f>(F6*2000)/Input!$C$8</f>
        <v>#N/A</v>
      </c>
      <c r="G7" s="277" t="e">
        <f>(G6*2000)/Input!$C$8</f>
        <v>#N/A</v>
      </c>
      <c r="H7" s="278" t="e">
        <f>(H6*2000)/Input!$C$8</f>
        <v>#N/A</v>
      </c>
      <c r="I7" s="277" t="e">
        <f>(I6*2000)/Input!$C$8</f>
        <v>#N/A</v>
      </c>
    </row>
    <row r="8" spans="1:9" ht="17.100000000000001" customHeight="1">
      <c r="B8" s="297" t="s">
        <v>482</v>
      </c>
      <c r="C8" s="299"/>
      <c r="D8" s="291"/>
      <c r="E8" s="294"/>
      <c r="F8" s="291"/>
      <c r="G8" s="294"/>
      <c r="H8" s="291"/>
      <c r="I8" s="294"/>
    </row>
    <row r="9" spans="1:9" ht="17.100000000000001" customHeight="1">
      <c r="B9" s="303" t="s">
        <v>547</v>
      </c>
      <c r="C9" s="300" t="e">
        <f>Outputs!C43</f>
        <v>#N/A</v>
      </c>
      <c r="D9" s="292" t="e">
        <f>Outputs!D43</f>
        <v>#N/A</v>
      </c>
      <c r="E9" s="295" t="e">
        <f>Outputs!E43</f>
        <v>#N/A</v>
      </c>
      <c r="F9" s="292" t="e">
        <f>Outputs!F43</f>
        <v>#N/A</v>
      </c>
      <c r="G9" s="295" t="e">
        <f>Outputs!G43</f>
        <v>#N/A</v>
      </c>
      <c r="H9" s="292" t="e">
        <f>Outputs!H43</f>
        <v>#N/A</v>
      </c>
      <c r="I9" s="295" t="e">
        <f>Outputs!I43</f>
        <v>#N/A</v>
      </c>
    </row>
    <row r="10" spans="1:9" ht="17.100000000000001" customHeight="1">
      <c r="B10" s="303" t="s">
        <v>543</v>
      </c>
      <c r="C10" s="300" t="e">
        <f>Outputs!C44</f>
        <v>#N/A</v>
      </c>
      <c r="D10" s="292" t="e">
        <f>Outputs!D44</f>
        <v>#N/A</v>
      </c>
      <c r="E10" s="295" t="e">
        <f>Outputs!E44</f>
        <v>#N/A</v>
      </c>
      <c r="F10" s="292" t="e">
        <f>Outputs!F44</f>
        <v>#N/A</v>
      </c>
      <c r="G10" s="295" t="e">
        <f>Outputs!G44</f>
        <v>#N/A</v>
      </c>
      <c r="H10" s="292" t="e">
        <f>Outputs!H44</f>
        <v>#N/A</v>
      </c>
      <c r="I10" s="295" t="e">
        <f>Outputs!I44</f>
        <v>#N/A</v>
      </c>
    </row>
    <row r="11" spans="1:9" ht="17.100000000000001" customHeight="1">
      <c r="B11" s="303" t="s">
        <v>535</v>
      </c>
      <c r="C11" s="301" t="e">
        <f>Outputs!C51</f>
        <v>#N/A</v>
      </c>
      <c r="D11" s="293" t="e">
        <f>Outputs!D51</f>
        <v>#N/A</v>
      </c>
      <c r="E11" s="296" t="e">
        <f>Outputs!E51</f>
        <v>#N/A</v>
      </c>
      <c r="F11" s="293" t="e">
        <f>Outputs!F51</f>
        <v>#N/A</v>
      </c>
      <c r="G11" s="296" t="e">
        <f>Outputs!G51</f>
        <v>#N/A</v>
      </c>
      <c r="H11" s="293" t="e">
        <f>Outputs!H51</f>
        <v>#N/A</v>
      </c>
      <c r="I11" s="296" t="e">
        <f>Outputs!I51</f>
        <v>#N/A</v>
      </c>
    </row>
    <row r="12" spans="1:9" ht="17.100000000000001" customHeight="1">
      <c r="B12" s="303" t="s">
        <v>536</v>
      </c>
      <c r="C12" s="301" t="e">
        <f>Outputs!C50</f>
        <v>#N/A</v>
      </c>
      <c r="D12" s="293" t="e">
        <f>Outputs!D50</f>
        <v>#N/A</v>
      </c>
      <c r="E12" s="296" t="e">
        <f>Outputs!E50</f>
        <v>#N/A</v>
      </c>
      <c r="F12" s="293" t="e">
        <f>Outputs!F50</f>
        <v>#N/A</v>
      </c>
      <c r="G12" s="296" t="e">
        <f>Outputs!G50</f>
        <v>#N/A</v>
      </c>
      <c r="H12" s="293" t="e">
        <f>Outputs!H50</f>
        <v>#N/A</v>
      </c>
      <c r="I12" s="296" t="e">
        <f>Outputs!I50</f>
        <v>#N/A</v>
      </c>
    </row>
    <row r="13" spans="1:9" ht="17.100000000000001" customHeight="1"/>
    <row r="14" spans="1:9" ht="17.100000000000001" customHeight="1">
      <c r="B14" s="288" t="s">
        <v>483</v>
      </c>
      <c r="C14" s="288"/>
      <c r="D14" s="288"/>
      <c r="E14" s="288"/>
      <c r="F14" s="288"/>
      <c r="G14" s="288"/>
      <c r="H14" s="288"/>
      <c r="I14" s="288"/>
    </row>
    <row r="15" spans="1:9" ht="17.100000000000001" customHeight="1">
      <c r="B15" s="289" t="s">
        <v>544</v>
      </c>
      <c r="C15" s="285" t="e">
        <f>Outputs!C56</f>
        <v>#N/A</v>
      </c>
      <c r="D15" s="285" t="e">
        <f>Outputs!D56</f>
        <v>#N/A</v>
      </c>
      <c r="E15" s="285" t="e">
        <f>Outputs!E56</f>
        <v>#N/A</v>
      </c>
      <c r="F15" s="285" t="e">
        <f>Outputs!F56</f>
        <v>#N/A</v>
      </c>
      <c r="G15" s="285" t="e">
        <f>Outputs!G56</f>
        <v>#N/A</v>
      </c>
      <c r="H15" s="285" t="e">
        <f>Outputs!H56</f>
        <v>#N/A</v>
      </c>
      <c r="I15" s="285" t="e">
        <f>Outputs!I56</f>
        <v>#N/A</v>
      </c>
    </row>
    <row r="16" spans="1:9" ht="17.100000000000001" customHeight="1">
      <c r="B16" s="289" t="s">
        <v>545</v>
      </c>
      <c r="C16" s="285" t="e">
        <f>Outputs!C57</f>
        <v>#N/A</v>
      </c>
      <c r="D16" s="285" t="e">
        <f>Outputs!D57</f>
        <v>#N/A</v>
      </c>
      <c r="E16" s="285" t="e">
        <f>Outputs!E57</f>
        <v>#N/A</v>
      </c>
      <c r="F16" s="285" t="e">
        <f>Outputs!F57</f>
        <v>#N/A</v>
      </c>
      <c r="G16" s="285" t="e">
        <f>Outputs!G57</f>
        <v>#N/A</v>
      </c>
      <c r="H16" s="285" t="e">
        <f>Outputs!H57</f>
        <v>#N/A</v>
      </c>
      <c r="I16" s="285" t="e">
        <f>Outputs!I57</f>
        <v>#N/A</v>
      </c>
    </row>
    <row r="17" spans="2:9" ht="17.100000000000001" customHeight="1">
      <c r="B17" s="289" t="s">
        <v>546</v>
      </c>
      <c r="C17" s="285" t="e">
        <f>Outputs!C58</f>
        <v>#N/A</v>
      </c>
      <c r="D17" s="285" t="e">
        <f>Outputs!D58</f>
        <v>#N/A</v>
      </c>
      <c r="E17" s="285" t="e">
        <f>Outputs!E58</f>
        <v>#N/A</v>
      </c>
      <c r="F17" s="285" t="e">
        <f>Outputs!F58</f>
        <v>#N/A</v>
      </c>
      <c r="G17" s="285" t="e">
        <f>Outputs!G58</f>
        <v>#N/A</v>
      </c>
      <c r="H17" s="285" t="e">
        <f>Outputs!H58</f>
        <v>#N/A</v>
      </c>
      <c r="I17" s="285" t="e">
        <f>Outputs!I58</f>
        <v>#N/A</v>
      </c>
    </row>
  </sheetData>
  <sheetProtection algorithmName="SHA-512" hashValue="gBnsCTMzBkCeOtuHPAA9/XtnvmZWe4JWZ6civr5oVEu3UV09L9e8IVsPHuN2QqyQiiyVbWHegsrLRp90YgVLaQ==" saltValue="umPpppBaosm/EifZlISBwQ==" spinCount="100000" sheet="1" objects="1" scenarios="1"/>
  <customSheetViews>
    <customSheetView guid="{C6E026A6-065F-4BC7-8A1C-5537BAE31A06}" fitToPage="1" state="hidden">
      <pageMargins left="0.7" right="0.7" top="0.75" bottom="0.75" header="0.3" footer="0.3"/>
      <pageSetup scale="87" orientation="landscape" horizontalDpi="4294967293" verticalDpi="0" r:id="rId1"/>
    </customSheetView>
    <customSheetView guid="{C1E42E27-80DF-5D46-A74B-2BA4AA86045C}" fitToPage="1" state="hidden">
      <pageMargins left="0.7" right="0.7" top="0.75" bottom="0.75" header="0.3" footer="0.3"/>
      <pageSetup scale="87" orientation="landscape" horizontalDpi="4294967293" verticalDpi="0" r:id="rId2"/>
    </customSheetView>
  </customSheetViews>
  <mergeCells count="4">
    <mergeCell ref="C4:C5"/>
    <mergeCell ref="D4:E4"/>
    <mergeCell ref="F4:G4"/>
    <mergeCell ref="H4:I4"/>
  </mergeCells>
  <pageMargins left="0.7" right="0.7" top="0.75" bottom="0.75" header="0.3" footer="0.3"/>
  <pageSetup scale="87" orientation="landscape" horizontalDpi="4294967293" verticalDpi="0"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65"/>
  <sheetViews>
    <sheetView topLeftCell="A45" workbookViewId="0">
      <selection activeCell="D62" sqref="D62"/>
    </sheetView>
  </sheetViews>
  <sheetFormatPr defaultColWidth="8.85546875" defaultRowHeight="12"/>
  <cols>
    <col min="1" max="1" width="1.140625" style="315" customWidth="1"/>
    <col min="2" max="2" width="42.42578125" style="315" bestFit="1" customWidth="1"/>
    <col min="3" max="5" width="13.85546875" style="315" customWidth="1"/>
    <col min="6" max="6" width="14.85546875" style="315" customWidth="1"/>
    <col min="7" max="7" width="13.85546875" style="315" customWidth="1"/>
    <col min="8" max="8" width="17.42578125" style="315" customWidth="1"/>
    <col min="9" max="9" width="13.85546875" style="315" customWidth="1"/>
    <col min="10" max="16384" width="8.85546875" style="315"/>
  </cols>
  <sheetData>
    <row r="2" spans="2:10">
      <c r="B2" s="316" t="s">
        <v>462</v>
      </c>
      <c r="C2" s="317">
        <f>Input!C4</f>
        <v>0</v>
      </c>
      <c r="D2" s="318"/>
    </row>
    <row r="3" spans="2:10" ht="12.75" thickBot="1">
      <c r="C3" s="318"/>
    </row>
    <row r="4" spans="2:10" ht="46.35" customHeight="1" thickBot="1">
      <c r="C4" s="318"/>
      <c r="D4" s="522" t="s">
        <v>479</v>
      </c>
      <c r="E4" s="524"/>
      <c r="F4" s="522" t="s">
        <v>480</v>
      </c>
      <c r="G4" s="524"/>
      <c r="H4" s="522" t="s">
        <v>478</v>
      </c>
      <c r="I4" s="523"/>
    </row>
    <row r="5" spans="2:10" ht="48.75" thickBot="1">
      <c r="B5" s="319" t="s">
        <v>218</v>
      </c>
      <c r="C5" s="320" t="s">
        <v>528</v>
      </c>
      <c r="D5" s="321" t="s">
        <v>464</v>
      </c>
      <c r="E5" s="322" t="s">
        <v>465</v>
      </c>
      <c r="F5" s="321" t="s">
        <v>466</v>
      </c>
      <c r="G5" s="322" t="s">
        <v>467</v>
      </c>
      <c r="H5" s="321" t="s">
        <v>477</v>
      </c>
      <c r="I5" s="322" t="s">
        <v>468</v>
      </c>
      <c r="J5" s="460">
        <v>1</v>
      </c>
    </row>
    <row r="6" spans="2:10" ht="14.1" customHeight="1">
      <c r="B6" s="323" t="s">
        <v>469</v>
      </c>
      <c r="C6" s="324" t="e">
        <f>TonnageImpacts!C13</f>
        <v>#N/A</v>
      </c>
      <c r="D6" s="324" t="e">
        <f>TonnageImpacts!D13</f>
        <v>#N/A</v>
      </c>
      <c r="E6" s="324" t="e">
        <f>TonnageImpacts!E13</f>
        <v>#N/A</v>
      </c>
      <c r="F6" s="324" t="e">
        <f>TonnageImpacts!F13</f>
        <v>#N/A</v>
      </c>
      <c r="G6" s="324" t="e">
        <f>TonnageImpacts!G13</f>
        <v>#N/A</v>
      </c>
      <c r="H6" s="324" t="e">
        <f>TonnageImpacts!H13</f>
        <v>#N/A</v>
      </c>
      <c r="I6" s="324" t="e">
        <f>TonnageImpacts!I13</f>
        <v>#N/A</v>
      </c>
      <c r="J6" s="460">
        <v>2</v>
      </c>
    </row>
    <row r="7" spans="2:10" ht="14.1" customHeight="1">
      <c r="B7" s="325" t="s">
        <v>470</v>
      </c>
      <c r="C7" s="326" t="e">
        <f>C6/52</f>
        <v>#N/A</v>
      </c>
      <c r="D7" s="327" t="e">
        <f>D6/52</f>
        <v>#N/A</v>
      </c>
      <c r="E7" s="328" t="e">
        <f t="shared" ref="E7:I7" si="0">E6/52</f>
        <v>#N/A</v>
      </c>
      <c r="F7" s="327" t="e">
        <f t="shared" si="0"/>
        <v>#N/A</v>
      </c>
      <c r="G7" s="328" t="e">
        <f t="shared" si="0"/>
        <v>#N/A</v>
      </c>
      <c r="H7" s="327" t="e">
        <f t="shared" si="0"/>
        <v>#N/A</v>
      </c>
      <c r="I7" s="328" t="e">
        <f t="shared" si="0"/>
        <v>#N/A</v>
      </c>
      <c r="J7" s="460">
        <v>3</v>
      </c>
    </row>
    <row r="8" spans="2:10" ht="14.1" customHeight="1">
      <c r="B8" s="329" t="s">
        <v>471</v>
      </c>
      <c r="C8" s="330" t="e">
        <f>(C6*2000)/Input!$C$8</f>
        <v>#N/A</v>
      </c>
      <c r="D8" s="331" t="e">
        <f>(D6*2000)/Input!$C$8</f>
        <v>#N/A</v>
      </c>
      <c r="E8" s="332" t="e">
        <f>(E6*2000)/Input!$C$8</f>
        <v>#N/A</v>
      </c>
      <c r="F8" s="331" t="e">
        <f>(F6*2000)/Input!$C$8</f>
        <v>#N/A</v>
      </c>
      <c r="G8" s="332" t="e">
        <f>(G6*2000)/Input!$C$8</f>
        <v>#N/A</v>
      </c>
      <c r="H8" s="331" t="e">
        <f>(H6*2000)/Input!$C$8</f>
        <v>#N/A</v>
      </c>
      <c r="I8" s="332" t="e">
        <f>(I6*2000)/Input!$C$8</f>
        <v>#N/A</v>
      </c>
      <c r="J8" s="460">
        <v>4</v>
      </c>
    </row>
    <row r="9" spans="2:10" ht="14.1" customHeight="1">
      <c r="B9" s="333" t="s">
        <v>430</v>
      </c>
      <c r="C9" s="334"/>
      <c r="D9" s="335"/>
      <c r="E9" s="336"/>
      <c r="F9" s="335"/>
      <c r="G9" s="336"/>
      <c r="H9" s="335"/>
      <c r="I9" s="336"/>
      <c r="J9" s="460">
        <v>5</v>
      </c>
    </row>
    <row r="10" spans="2:10" ht="14.1" customHeight="1">
      <c r="B10" s="323" t="s">
        <v>216</v>
      </c>
      <c r="C10" s="337" t="e">
        <f>ROUND(C20+C27+C36+C40+C33,-3)</f>
        <v>#N/A</v>
      </c>
      <c r="D10" s="337" t="e">
        <f>ROUND(D20+D27+D36+D40,-3)</f>
        <v>#N/A</v>
      </c>
      <c r="E10" s="337" t="e">
        <f t="shared" ref="E10:I10" si="1">ROUND(E20+E27+E36+E40,-3)</f>
        <v>#N/A</v>
      </c>
      <c r="F10" s="337" t="e">
        <f t="shared" si="1"/>
        <v>#N/A</v>
      </c>
      <c r="G10" s="337" t="e">
        <f t="shared" si="1"/>
        <v>#N/A</v>
      </c>
      <c r="H10" s="337" t="e">
        <f>ROUND(H20+H27+H36+H40,-3)</f>
        <v>#N/A</v>
      </c>
      <c r="I10" s="337" t="e">
        <f t="shared" si="1"/>
        <v>#N/A</v>
      </c>
      <c r="J10" s="460">
        <v>6</v>
      </c>
    </row>
    <row r="11" spans="2:10" ht="14.1" customHeight="1">
      <c r="B11" s="325" t="s">
        <v>510</v>
      </c>
      <c r="C11" s="338" t="e">
        <f>ROUND((C10/Input!$C$8),1)</f>
        <v>#N/A</v>
      </c>
      <c r="D11" s="338" t="e">
        <f>ROUND((D10/Input!$C$8),1)</f>
        <v>#N/A</v>
      </c>
      <c r="E11" s="338" t="e">
        <f>ROUND((E10/Input!$C$8),1)</f>
        <v>#N/A</v>
      </c>
      <c r="F11" s="338" t="e">
        <f>ROUND((F10/Input!$C$8),1)</f>
        <v>#N/A</v>
      </c>
      <c r="G11" s="338" t="e">
        <f>ROUND((G10/Input!$C$8),1)</f>
        <v>#N/A</v>
      </c>
      <c r="H11" s="338" t="e">
        <f>ROUND((H10/Input!$C$8),1)</f>
        <v>#N/A</v>
      </c>
      <c r="I11" s="338" t="e">
        <f>ROUND((I10/Input!$C$8),1)</f>
        <v>#N/A</v>
      </c>
      <c r="J11" s="460">
        <v>7</v>
      </c>
    </row>
    <row r="12" spans="2:10" ht="14.1" customHeight="1">
      <c r="B12" s="325" t="s">
        <v>511</v>
      </c>
      <c r="C12" s="338" t="e">
        <f>(C10/TonnageImpacts!C6)/12</f>
        <v>#N/A</v>
      </c>
      <c r="D12" s="338" t="e">
        <f>(D10/TonnageImpacts!D6)/12</f>
        <v>#N/A</v>
      </c>
      <c r="E12" s="338" t="e">
        <f>(E10/TonnageImpacts!E6)/12</f>
        <v>#N/A</v>
      </c>
      <c r="F12" s="338" t="e">
        <f>(F10/TonnageImpacts!F6)/12</f>
        <v>#N/A</v>
      </c>
      <c r="G12" s="338" t="e">
        <f>(G10/TonnageImpacts!G6)/12</f>
        <v>#N/A</v>
      </c>
      <c r="H12" s="338" t="e">
        <f>(H10/TonnageImpacts!H6)/12</f>
        <v>#N/A</v>
      </c>
      <c r="I12" s="338" t="e">
        <f>(I10/TonnageImpacts!I6)/12</f>
        <v>#N/A</v>
      </c>
      <c r="J12" s="460">
        <v>8</v>
      </c>
    </row>
    <row r="13" spans="2:10" ht="14.1" customHeight="1">
      <c r="B13" s="325" t="s">
        <v>217</v>
      </c>
      <c r="C13" s="339" t="e">
        <f>C10/C6</f>
        <v>#N/A</v>
      </c>
      <c r="D13" s="339" t="e">
        <f>D10/D6</f>
        <v>#N/A</v>
      </c>
      <c r="E13" s="339" t="e">
        <f t="shared" ref="E13:I13" si="2">E10/E6</f>
        <v>#N/A</v>
      </c>
      <c r="F13" s="339" t="e">
        <f t="shared" si="2"/>
        <v>#N/A</v>
      </c>
      <c r="G13" s="339" t="e">
        <f t="shared" si="2"/>
        <v>#N/A</v>
      </c>
      <c r="H13" s="339" t="e">
        <f t="shared" si="2"/>
        <v>#N/A</v>
      </c>
      <c r="I13" s="339" t="e">
        <f t="shared" si="2"/>
        <v>#N/A</v>
      </c>
      <c r="J13" s="460">
        <v>9</v>
      </c>
    </row>
    <row r="14" spans="2:10" ht="14.1" customHeight="1">
      <c r="B14" s="329" t="s">
        <v>364</v>
      </c>
      <c r="C14" s="340" t="e">
        <f>C21+C26+C36+C40+C32</f>
        <v>#N/A</v>
      </c>
      <c r="D14" s="340" t="e">
        <f t="shared" ref="D14:I14" si="3">D21+D26+D36+D40</f>
        <v>#N/A</v>
      </c>
      <c r="E14" s="340" t="e">
        <f t="shared" si="3"/>
        <v>#N/A</v>
      </c>
      <c r="F14" s="340" t="e">
        <f t="shared" si="3"/>
        <v>#N/A</v>
      </c>
      <c r="G14" s="340" t="e">
        <f t="shared" si="3"/>
        <v>#N/A</v>
      </c>
      <c r="H14" s="340" t="e">
        <f t="shared" si="3"/>
        <v>#N/A</v>
      </c>
      <c r="I14" s="340" t="e">
        <f t="shared" si="3"/>
        <v>#N/A</v>
      </c>
      <c r="J14" s="460">
        <v>10</v>
      </c>
    </row>
    <row r="15" spans="2:10" ht="14.1" customHeight="1" thickBot="1">
      <c r="B15" s="341" t="s">
        <v>408</v>
      </c>
      <c r="C15" s="342" t="e">
        <f>ROUND(C18+C25+C31,-3)</f>
        <v>#N/A</v>
      </c>
      <c r="D15" s="342" t="e">
        <f>ROUND(D18+D25,-3)</f>
        <v>#N/A</v>
      </c>
      <c r="E15" s="342" t="e">
        <f t="shared" ref="E15:I15" si="4">ROUND(E18+E25,-3)</f>
        <v>#N/A</v>
      </c>
      <c r="F15" s="342" t="e">
        <f t="shared" si="4"/>
        <v>#N/A</v>
      </c>
      <c r="G15" s="342" t="e">
        <f t="shared" si="4"/>
        <v>#N/A</v>
      </c>
      <c r="H15" s="342" t="e">
        <f t="shared" si="4"/>
        <v>#N/A</v>
      </c>
      <c r="I15" s="342" t="e">
        <f t="shared" si="4"/>
        <v>#N/A</v>
      </c>
      <c r="J15" s="460">
        <v>11</v>
      </c>
    </row>
    <row r="16" spans="2:10" ht="14.1" customHeight="1">
      <c r="B16" s="335" t="s">
        <v>214</v>
      </c>
      <c r="C16" s="334"/>
      <c r="D16" s="334"/>
      <c r="E16" s="334"/>
      <c r="F16" s="334"/>
      <c r="G16" s="334"/>
      <c r="H16" s="334"/>
      <c r="I16" s="334"/>
      <c r="J16" s="460">
        <v>12</v>
      </c>
    </row>
    <row r="17" spans="2:10" ht="14.1" customHeight="1">
      <c r="B17" s="325" t="str">
        <f>ContainerCosts!A21</f>
        <v>Total Cost</v>
      </c>
      <c r="C17" s="343" t="e">
        <f>-ContainerCosts!C21</f>
        <v>#N/A</v>
      </c>
      <c r="D17" s="343" t="e">
        <f>-ContainerCosts!D21</f>
        <v>#N/A</v>
      </c>
      <c r="E17" s="343" t="e">
        <f>-ContainerCosts!E21</f>
        <v>#N/A</v>
      </c>
      <c r="F17" s="343" t="e">
        <f>-ContainerCosts!F21</f>
        <v>#N/A</v>
      </c>
      <c r="G17" s="343" t="e">
        <f>-ContainerCosts!G21</f>
        <v>#N/A</v>
      </c>
      <c r="H17" s="343" t="e">
        <f>-ContainerCosts!H21</f>
        <v>#N/A</v>
      </c>
      <c r="I17" s="343" t="e">
        <f>-ContainerCosts!I21</f>
        <v>#N/A</v>
      </c>
      <c r="J17" s="460">
        <v>13</v>
      </c>
    </row>
    <row r="18" spans="2:10" ht="14.1" customHeight="1">
      <c r="B18" s="325" t="str">
        <f>ContainerCosts!A22</f>
        <v>Total Capital Cost</v>
      </c>
      <c r="C18" s="343" t="e">
        <f>-ContainerCosts!C22</f>
        <v>#N/A</v>
      </c>
      <c r="D18" s="343" t="e">
        <f>-ContainerCosts!D22</f>
        <v>#N/A</v>
      </c>
      <c r="E18" s="343" t="e">
        <f>-ContainerCosts!E22</f>
        <v>#N/A</v>
      </c>
      <c r="F18" s="343" t="e">
        <f>-ContainerCosts!F22</f>
        <v>#N/A</v>
      </c>
      <c r="G18" s="343" t="e">
        <f>-ContainerCosts!G22</f>
        <v>#N/A</v>
      </c>
      <c r="H18" s="343" t="e">
        <f>-ContainerCosts!H22</f>
        <v>#N/A</v>
      </c>
      <c r="I18" s="343" t="e">
        <f>-ContainerCosts!I22</f>
        <v>#N/A</v>
      </c>
      <c r="J18" s="460">
        <v>14</v>
      </c>
    </row>
    <row r="19" spans="2:10" ht="14.1" customHeight="1">
      <c r="B19" s="325" t="str">
        <f>ContainerCosts!A23</f>
        <v>Total Operations &amp; Maintenance Cost</v>
      </c>
      <c r="C19" s="343" t="e">
        <f>-ContainerCosts!C23</f>
        <v>#N/A</v>
      </c>
      <c r="D19" s="343" t="e">
        <f>-ContainerCosts!D23</f>
        <v>#N/A</v>
      </c>
      <c r="E19" s="343" t="e">
        <f>-ContainerCosts!E23</f>
        <v>#N/A</v>
      </c>
      <c r="F19" s="343" t="e">
        <f>-ContainerCosts!F23</f>
        <v>#N/A</v>
      </c>
      <c r="G19" s="343" t="e">
        <f>-ContainerCosts!G23</f>
        <v>#N/A</v>
      </c>
      <c r="H19" s="343" t="e">
        <f>-ContainerCosts!H23</f>
        <v>#N/A</v>
      </c>
      <c r="I19" s="343" t="e">
        <f>-ContainerCosts!I23</f>
        <v>#N/A</v>
      </c>
      <c r="J19" s="460">
        <v>15</v>
      </c>
    </row>
    <row r="20" spans="2:10" ht="14.1" customHeight="1">
      <c r="B20" s="325" t="str">
        <f>ContainerCosts!A24</f>
        <v>Total Cost per Year</v>
      </c>
      <c r="C20" s="343" t="e">
        <f>-ContainerCosts!C24</f>
        <v>#N/A</v>
      </c>
      <c r="D20" s="343" t="e">
        <f>-ContainerCosts!D24</f>
        <v>#N/A</v>
      </c>
      <c r="E20" s="343" t="e">
        <f>-ContainerCosts!E24</f>
        <v>#N/A</v>
      </c>
      <c r="F20" s="343" t="e">
        <f>-ContainerCosts!F24</f>
        <v>#N/A</v>
      </c>
      <c r="G20" s="343" t="e">
        <f>-ContainerCosts!G24</f>
        <v>#N/A</v>
      </c>
      <c r="H20" s="343" t="e">
        <f>-ContainerCosts!H24</f>
        <v>#N/A</v>
      </c>
      <c r="I20" s="343" t="e">
        <f>-ContainerCosts!I24</f>
        <v>#N/A</v>
      </c>
      <c r="J20" s="460">
        <v>16</v>
      </c>
    </row>
    <row r="21" spans="2:10" ht="14.1" customHeight="1">
      <c r="B21" s="325" t="str">
        <f>ContainerCosts!A25</f>
        <v>Operations &amp; Maintenance Cost per Year</v>
      </c>
      <c r="C21" s="343" t="e">
        <f>-ContainerCosts!C25</f>
        <v>#N/A</v>
      </c>
      <c r="D21" s="343" t="e">
        <f>-ContainerCosts!D25</f>
        <v>#N/A</v>
      </c>
      <c r="E21" s="343" t="e">
        <f>-ContainerCosts!E25</f>
        <v>#N/A</v>
      </c>
      <c r="F21" s="343" t="e">
        <f>-ContainerCosts!F25</f>
        <v>#N/A</v>
      </c>
      <c r="G21" s="343" t="e">
        <f>-ContainerCosts!G25</f>
        <v>#N/A</v>
      </c>
      <c r="H21" s="343" t="e">
        <f>-ContainerCosts!H25</f>
        <v>#N/A</v>
      </c>
      <c r="I21" s="343" t="e">
        <f>-ContainerCosts!I25</f>
        <v>#N/A</v>
      </c>
      <c r="J21" s="460">
        <v>17</v>
      </c>
    </row>
    <row r="22" spans="2:10" ht="14.1" customHeight="1">
      <c r="B22" s="335" t="s">
        <v>219</v>
      </c>
      <c r="C22" s="334"/>
      <c r="D22" s="334"/>
      <c r="E22" s="334"/>
      <c r="F22" s="334"/>
      <c r="G22" s="334"/>
      <c r="H22" s="334"/>
      <c r="I22" s="334"/>
      <c r="J22" s="460">
        <v>18</v>
      </c>
    </row>
    <row r="23" spans="2:10" ht="14.1" customHeight="1">
      <c r="B23" s="325" t="str">
        <f>TruckCosts!A31</f>
        <v>Total No. of Vehicles (incl. back-up and support)</v>
      </c>
      <c r="C23" s="344" t="e">
        <f>TruckCosts!C31</f>
        <v>#N/A</v>
      </c>
      <c r="D23" s="344" t="e">
        <f>TruckCosts!D31</f>
        <v>#N/A</v>
      </c>
      <c r="E23" s="344" t="e">
        <f>TruckCosts!E31</f>
        <v>#N/A</v>
      </c>
      <c r="F23" s="344" t="e">
        <f>TruckCosts!F31</f>
        <v>#N/A</v>
      </c>
      <c r="G23" s="344" t="e">
        <f>TruckCosts!G31</f>
        <v>#N/A</v>
      </c>
      <c r="H23" s="344" t="e">
        <f>TruckCosts!H31</f>
        <v>#N/A</v>
      </c>
      <c r="I23" s="344" t="e">
        <f>TruckCosts!I31</f>
        <v>#N/A</v>
      </c>
      <c r="J23" s="460">
        <v>19</v>
      </c>
    </row>
    <row r="24" spans="2:10" ht="14.1" customHeight="1">
      <c r="B24" s="325" t="str">
        <f>TruckCosts!A32</f>
        <v>Total Cost</v>
      </c>
      <c r="C24" s="343" t="e">
        <f>-TruckCosts!C32</f>
        <v>#N/A</v>
      </c>
      <c r="D24" s="343" t="e">
        <f>-TruckCosts!D32</f>
        <v>#N/A</v>
      </c>
      <c r="E24" s="343" t="e">
        <f>-TruckCosts!E32</f>
        <v>#N/A</v>
      </c>
      <c r="F24" s="343" t="e">
        <f>-TruckCosts!F32</f>
        <v>#N/A</v>
      </c>
      <c r="G24" s="343" t="e">
        <f>-TruckCosts!G32</f>
        <v>#N/A</v>
      </c>
      <c r="H24" s="343" t="e">
        <f>-TruckCosts!H32</f>
        <v>#N/A</v>
      </c>
      <c r="I24" s="343" t="e">
        <f>-TruckCosts!I32</f>
        <v>#N/A</v>
      </c>
      <c r="J24" s="460">
        <v>20</v>
      </c>
    </row>
    <row r="25" spans="2:10" ht="14.1" customHeight="1">
      <c r="B25" s="325" t="str">
        <f>TruckCosts!A33</f>
        <v>Total Capital Cost</v>
      </c>
      <c r="C25" s="343" t="e">
        <f>-TruckCosts!C33</f>
        <v>#N/A</v>
      </c>
      <c r="D25" s="343" t="e">
        <f>-TruckCosts!D33</f>
        <v>#N/A</v>
      </c>
      <c r="E25" s="343" t="e">
        <f>-TruckCosts!E33</f>
        <v>#N/A</v>
      </c>
      <c r="F25" s="343" t="e">
        <f>-TruckCosts!F33</f>
        <v>#N/A</v>
      </c>
      <c r="G25" s="343" t="e">
        <f>-TruckCosts!G33</f>
        <v>#N/A</v>
      </c>
      <c r="H25" s="343" t="e">
        <f>-TruckCosts!H33</f>
        <v>#N/A</v>
      </c>
      <c r="I25" s="343" t="e">
        <f>-TruckCosts!I33</f>
        <v>#N/A</v>
      </c>
      <c r="J25" s="460">
        <v>21</v>
      </c>
    </row>
    <row r="26" spans="2:10" ht="14.1" customHeight="1">
      <c r="B26" s="325" t="str">
        <f>TruckCosts!A34</f>
        <v>Total Operations &amp; Maintenance Cost / Year</v>
      </c>
      <c r="C26" s="343" t="e">
        <f>-TruckCosts!C34</f>
        <v>#N/A</v>
      </c>
      <c r="D26" s="343" t="e">
        <f>-TruckCosts!D34</f>
        <v>#N/A</v>
      </c>
      <c r="E26" s="343" t="e">
        <f>-TruckCosts!E34</f>
        <v>#N/A</v>
      </c>
      <c r="F26" s="343" t="e">
        <f>-TruckCosts!F34</f>
        <v>#N/A</v>
      </c>
      <c r="G26" s="343" t="e">
        <f>-TruckCosts!G34</f>
        <v>#N/A</v>
      </c>
      <c r="H26" s="343" t="e">
        <f>-TruckCosts!H34</f>
        <v>#N/A</v>
      </c>
      <c r="I26" s="343" t="e">
        <f>-TruckCosts!I34</f>
        <v>#N/A</v>
      </c>
      <c r="J26" s="460">
        <v>22</v>
      </c>
    </row>
    <row r="27" spans="2:10" ht="14.1" customHeight="1" thickBot="1">
      <c r="B27" s="329" t="str">
        <f>TruckCosts!A35</f>
        <v>Total Cost per Year</v>
      </c>
      <c r="C27" s="340" t="e">
        <f>-TruckCosts!C35</f>
        <v>#N/A</v>
      </c>
      <c r="D27" s="340" t="e">
        <f>-TruckCosts!D35</f>
        <v>#N/A</v>
      </c>
      <c r="E27" s="340" t="e">
        <f>-TruckCosts!E35</f>
        <v>#N/A</v>
      </c>
      <c r="F27" s="340" t="e">
        <f>-TruckCosts!F35</f>
        <v>#N/A</v>
      </c>
      <c r="G27" s="340" t="e">
        <f>-TruckCosts!G35</f>
        <v>#N/A</v>
      </c>
      <c r="H27" s="340" t="e">
        <f>-TruckCosts!H35</f>
        <v>#N/A</v>
      </c>
      <c r="I27" s="340" t="e">
        <f>-TruckCosts!I35</f>
        <v>#N/A</v>
      </c>
      <c r="J27" s="460">
        <v>23</v>
      </c>
    </row>
    <row r="28" spans="2:10" ht="14.1" customHeight="1">
      <c r="B28" s="422" t="s">
        <v>548</v>
      </c>
      <c r="C28" s="423"/>
      <c r="D28" s="423"/>
      <c r="E28" s="423"/>
      <c r="F28" s="423"/>
      <c r="G28" s="423"/>
      <c r="H28" s="423"/>
      <c r="I28" s="424"/>
      <c r="J28" s="460">
        <v>24</v>
      </c>
    </row>
    <row r="29" spans="2:10" ht="14.1" customHeight="1">
      <c r="B29" s="425" t="str">
        <f>'DropOff Capital Cost'!A65</f>
        <v>Number of Drop-Offs</v>
      </c>
      <c r="C29" s="421">
        <f>'DropOff Capital Cost'!B65</f>
        <v>0</v>
      </c>
      <c r="D29" s="420" t="s">
        <v>493</v>
      </c>
      <c r="E29" s="420" t="s">
        <v>493</v>
      </c>
      <c r="F29" s="420" t="s">
        <v>493</v>
      </c>
      <c r="G29" s="420" t="s">
        <v>493</v>
      </c>
      <c r="H29" s="420" t="s">
        <v>493</v>
      </c>
      <c r="I29" s="426" t="s">
        <v>493</v>
      </c>
      <c r="J29" s="460">
        <v>25</v>
      </c>
    </row>
    <row r="30" spans="2:10" ht="14.1" customHeight="1">
      <c r="B30" s="425" t="str">
        <f>'DropOff Capital Cost'!A66</f>
        <v>Total Cost</v>
      </c>
      <c r="C30" s="420" t="e">
        <f>'DropOff Capital Cost'!B66</f>
        <v>#N/A</v>
      </c>
      <c r="D30" s="420" t="s">
        <v>493</v>
      </c>
      <c r="E30" s="420" t="s">
        <v>493</v>
      </c>
      <c r="F30" s="420" t="s">
        <v>493</v>
      </c>
      <c r="G30" s="420" t="s">
        <v>493</v>
      </c>
      <c r="H30" s="420" t="s">
        <v>493</v>
      </c>
      <c r="I30" s="426" t="s">
        <v>493</v>
      </c>
      <c r="J30" s="460">
        <v>26</v>
      </c>
    </row>
    <row r="31" spans="2:10" ht="14.1" customHeight="1">
      <c r="B31" s="425" t="str">
        <f>'DropOff Capital Cost'!A67</f>
        <v>Total Capital Cost</v>
      </c>
      <c r="C31" s="420">
        <f>'DropOff Capital Cost'!B67</f>
        <v>0</v>
      </c>
      <c r="D31" s="420" t="s">
        <v>493</v>
      </c>
      <c r="E31" s="420" t="s">
        <v>493</v>
      </c>
      <c r="F31" s="420" t="s">
        <v>493</v>
      </c>
      <c r="G31" s="420" t="s">
        <v>493</v>
      </c>
      <c r="H31" s="420" t="s">
        <v>493</v>
      </c>
      <c r="I31" s="426" t="s">
        <v>493</v>
      </c>
      <c r="J31" s="460">
        <v>27</v>
      </c>
    </row>
    <row r="32" spans="2:10" ht="14.1" customHeight="1">
      <c r="B32" s="425" t="str">
        <f>'DropOff Capital Cost'!A68</f>
        <v xml:space="preserve">Annual Total Operations &amp; Maintenance Cost </v>
      </c>
      <c r="C32" s="420" t="e">
        <f>'DropOff Capital Cost'!B68</f>
        <v>#N/A</v>
      </c>
      <c r="D32" s="420" t="s">
        <v>493</v>
      </c>
      <c r="E32" s="420" t="s">
        <v>493</v>
      </c>
      <c r="F32" s="420" t="s">
        <v>493</v>
      </c>
      <c r="G32" s="420" t="s">
        <v>493</v>
      </c>
      <c r="H32" s="420" t="s">
        <v>493</v>
      </c>
      <c r="I32" s="426" t="s">
        <v>493</v>
      </c>
      <c r="J32" s="460">
        <v>28</v>
      </c>
    </row>
    <row r="33" spans="2:10" ht="14.1" customHeight="1">
      <c r="B33" s="425" t="str">
        <f>'DropOff Capital Cost'!A69</f>
        <v xml:space="preserve">Annual Total Cost </v>
      </c>
      <c r="C33" s="420" t="e">
        <f>'DropOff Capital Cost'!B69</f>
        <v>#N/A</v>
      </c>
      <c r="D33" s="420" t="s">
        <v>493</v>
      </c>
      <c r="E33" s="420" t="s">
        <v>493</v>
      </c>
      <c r="F33" s="420" t="s">
        <v>493</v>
      </c>
      <c r="G33" s="420" t="s">
        <v>493</v>
      </c>
      <c r="H33" s="420" t="s">
        <v>493</v>
      </c>
      <c r="I33" s="426" t="s">
        <v>493</v>
      </c>
      <c r="J33" s="460">
        <v>29</v>
      </c>
    </row>
    <row r="34" spans="2:10" ht="14.1" customHeight="1" thickBot="1">
      <c r="B34" s="427" t="str">
        <f>'DropOff Capital Cost'!A70</f>
        <v xml:space="preserve">Annual Total Cost per Site </v>
      </c>
      <c r="C34" s="428" t="e">
        <f>'DropOff Capital Cost'!B70</f>
        <v>#N/A</v>
      </c>
      <c r="D34" s="428" t="s">
        <v>493</v>
      </c>
      <c r="E34" s="428" t="s">
        <v>493</v>
      </c>
      <c r="F34" s="428" t="s">
        <v>493</v>
      </c>
      <c r="G34" s="428" t="s">
        <v>493</v>
      </c>
      <c r="H34" s="428" t="s">
        <v>493</v>
      </c>
      <c r="I34" s="429" t="s">
        <v>493</v>
      </c>
      <c r="J34" s="460">
        <v>30</v>
      </c>
    </row>
    <row r="35" spans="2:10" ht="14.1" customHeight="1">
      <c r="B35" s="335" t="s">
        <v>215</v>
      </c>
      <c r="C35" s="334"/>
      <c r="D35" s="334"/>
      <c r="E35" s="334"/>
      <c r="F35" s="334"/>
      <c r="G35" s="334"/>
      <c r="H35" s="334"/>
      <c r="I35" s="334"/>
      <c r="J35" s="460">
        <v>31</v>
      </c>
    </row>
    <row r="36" spans="2:10" ht="14.1" customHeight="1">
      <c r="B36" s="325" t="str">
        <f>StaffingCosts!A16</f>
        <v>Total Labor Cost (Annual)</v>
      </c>
      <c r="C36" s="343" t="e">
        <f>-StaffingCosts!C16</f>
        <v>#N/A</v>
      </c>
      <c r="D36" s="343" t="e">
        <f>-StaffingCosts!D16</f>
        <v>#N/A</v>
      </c>
      <c r="E36" s="343" t="e">
        <f>-StaffingCosts!E16</f>
        <v>#N/A</v>
      </c>
      <c r="F36" s="343" t="e">
        <f>-StaffingCosts!F16</f>
        <v>#N/A</v>
      </c>
      <c r="G36" s="343" t="e">
        <f>-StaffingCosts!G16</f>
        <v>#N/A</v>
      </c>
      <c r="H36" s="343" t="e">
        <f>-StaffingCosts!H16</f>
        <v>#N/A</v>
      </c>
      <c r="I36" s="343" t="e">
        <f>-StaffingCosts!I16</f>
        <v>#N/A</v>
      </c>
      <c r="J36" s="460">
        <v>32</v>
      </c>
    </row>
    <row r="37" spans="2:10" ht="14.1" customHeight="1">
      <c r="B37" s="325" t="str">
        <f>StaffingCosts!A17</f>
        <v>Number of Equipment Operators / Maint. Techs</v>
      </c>
      <c r="C37" s="344" t="e">
        <f>StaffingCosts!C17</f>
        <v>#N/A</v>
      </c>
      <c r="D37" s="344" t="e">
        <f>StaffingCosts!D17</f>
        <v>#N/A</v>
      </c>
      <c r="E37" s="344" t="e">
        <f>StaffingCosts!E17</f>
        <v>#N/A</v>
      </c>
      <c r="F37" s="344" t="e">
        <f>StaffingCosts!F17</f>
        <v>#N/A</v>
      </c>
      <c r="G37" s="344" t="e">
        <f>StaffingCosts!G17</f>
        <v>#N/A</v>
      </c>
      <c r="H37" s="344" t="e">
        <f>StaffingCosts!H17</f>
        <v>#N/A</v>
      </c>
      <c r="I37" s="344" t="e">
        <f>StaffingCosts!I17</f>
        <v>#N/A</v>
      </c>
      <c r="J37" s="460">
        <v>33</v>
      </c>
    </row>
    <row r="38" spans="2:10" ht="14.1" customHeight="1">
      <c r="B38" s="325" t="str">
        <f>StaffingCosts!A18</f>
        <v xml:space="preserve">Number of Supervisors </v>
      </c>
      <c r="C38" s="344" t="e">
        <f>StaffingCosts!C18</f>
        <v>#N/A</v>
      </c>
      <c r="D38" s="344" t="e">
        <f>StaffingCosts!D18</f>
        <v>#N/A</v>
      </c>
      <c r="E38" s="344" t="e">
        <f>StaffingCosts!E18</f>
        <v>#N/A</v>
      </c>
      <c r="F38" s="344" t="e">
        <f>StaffingCosts!F18</f>
        <v>#N/A</v>
      </c>
      <c r="G38" s="344" t="e">
        <f>StaffingCosts!G18</f>
        <v>#N/A</v>
      </c>
      <c r="H38" s="344" t="e">
        <f>StaffingCosts!H18</f>
        <v>#N/A</v>
      </c>
      <c r="I38" s="344" t="e">
        <f>StaffingCosts!I18</f>
        <v>#N/A</v>
      </c>
      <c r="J38" s="460">
        <v>34</v>
      </c>
    </row>
    <row r="39" spans="2:10" ht="14.1" customHeight="1">
      <c r="B39" s="335" t="s">
        <v>481</v>
      </c>
      <c r="C39" s="334"/>
      <c r="D39" s="334"/>
      <c r="E39" s="334"/>
      <c r="F39" s="334"/>
      <c r="G39" s="334"/>
      <c r="H39" s="334"/>
      <c r="I39" s="334"/>
      <c r="J39" s="460">
        <v>35</v>
      </c>
    </row>
    <row r="40" spans="2:10" ht="14.1" customHeight="1">
      <c r="B40" s="329" t="str">
        <f>DisposalCostsRevenues!A16</f>
        <v>Annual Disposal Savings</v>
      </c>
      <c r="C40" s="340" t="e">
        <f>-DisposalCostsRevenues!C16</f>
        <v>#N/A</v>
      </c>
      <c r="D40" s="340" t="e">
        <f>-DisposalCostsRevenues!D16</f>
        <v>#N/A</v>
      </c>
      <c r="E40" s="340" t="e">
        <f>-DisposalCostsRevenues!E16</f>
        <v>#N/A</v>
      </c>
      <c r="F40" s="340" t="e">
        <f>-DisposalCostsRevenues!F16</f>
        <v>#N/A</v>
      </c>
      <c r="G40" s="340" t="e">
        <f>-DisposalCostsRevenues!G16</f>
        <v>#N/A</v>
      </c>
      <c r="H40" s="340" t="e">
        <f>-DisposalCostsRevenues!H16</f>
        <v>#N/A</v>
      </c>
      <c r="I40" s="340" t="e">
        <f>-DisposalCostsRevenues!I16</f>
        <v>#N/A</v>
      </c>
      <c r="J40" s="460">
        <v>36</v>
      </c>
    </row>
    <row r="41" spans="2:10" ht="14.1" customHeight="1">
      <c r="B41" s="329" t="s">
        <v>484</v>
      </c>
      <c r="C41" s="345" t="e">
        <f>C40/Input!$C$8</f>
        <v>#N/A</v>
      </c>
      <c r="D41" s="345" t="e">
        <f>D40/Input!$C$8</f>
        <v>#N/A</v>
      </c>
      <c r="E41" s="345" t="e">
        <f>E40/Input!$C$8</f>
        <v>#N/A</v>
      </c>
      <c r="F41" s="345" t="e">
        <f>F40/Input!$C$8</f>
        <v>#N/A</v>
      </c>
      <c r="G41" s="345" t="e">
        <f>G40/Input!$C$8</f>
        <v>#N/A</v>
      </c>
      <c r="H41" s="345" t="e">
        <f>H40/Input!$C$8</f>
        <v>#N/A</v>
      </c>
      <c r="I41" s="345" t="e">
        <f>I40/Input!$C$8</f>
        <v>#N/A</v>
      </c>
      <c r="J41" s="460">
        <v>37</v>
      </c>
    </row>
    <row r="42" spans="2:10" ht="14.1" customHeight="1">
      <c r="B42" s="333" t="s">
        <v>482</v>
      </c>
      <c r="C42" s="334"/>
      <c r="D42" s="334"/>
      <c r="E42" s="334"/>
      <c r="F42" s="334"/>
      <c r="G42" s="334"/>
      <c r="H42" s="334"/>
      <c r="I42" s="334"/>
      <c r="J42" s="460">
        <v>38</v>
      </c>
    </row>
    <row r="43" spans="2:10" ht="14.1" customHeight="1">
      <c r="B43" s="346" t="str">
        <f>'Transfer MRF Outputs'!A27</f>
        <v>Total Capital Cost</v>
      </c>
      <c r="C43" s="347" t="e">
        <f>-'Transfer MRF Outputs'!B27</f>
        <v>#N/A</v>
      </c>
      <c r="D43" s="347" t="e">
        <f>-'Transfer MRF Outputs'!C27</f>
        <v>#N/A</v>
      </c>
      <c r="E43" s="347" t="e">
        <f>-'Transfer MRF Outputs'!D27</f>
        <v>#N/A</v>
      </c>
      <c r="F43" s="347" t="e">
        <f>-'Transfer MRF Outputs'!E27</f>
        <v>#N/A</v>
      </c>
      <c r="G43" s="347" t="e">
        <f>-'Transfer MRF Outputs'!F27</f>
        <v>#N/A</v>
      </c>
      <c r="H43" s="347" t="e">
        <f>-'Transfer MRF Outputs'!G27</f>
        <v>#N/A</v>
      </c>
      <c r="I43" s="347" t="e">
        <f>-'Transfer MRF Outputs'!H27</f>
        <v>#N/A</v>
      </c>
      <c r="J43" s="460">
        <v>39</v>
      </c>
    </row>
    <row r="44" spans="2:10" ht="14.1" customHeight="1">
      <c r="B44" s="346" t="str">
        <f>'Transfer MRF Outputs'!A40</f>
        <v>Total Annual Capital Cost</v>
      </c>
      <c r="C44" s="347" t="e">
        <f>'Transfer MRF Outputs'!B40</f>
        <v>#N/A</v>
      </c>
      <c r="D44" s="347" t="e">
        <f>'Transfer MRF Outputs'!C40</f>
        <v>#N/A</v>
      </c>
      <c r="E44" s="347" t="e">
        <f>'Transfer MRF Outputs'!D40</f>
        <v>#N/A</v>
      </c>
      <c r="F44" s="347" t="e">
        <f>'Transfer MRF Outputs'!E40</f>
        <v>#N/A</v>
      </c>
      <c r="G44" s="347" t="e">
        <f>'Transfer MRF Outputs'!F40</f>
        <v>#N/A</v>
      </c>
      <c r="H44" s="347" t="e">
        <f>'Transfer MRF Outputs'!G40</f>
        <v>#N/A</v>
      </c>
      <c r="I44" s="347" t="e">
        <f>'Transfer MRF Outputs'!H40</f>
        <v>#N/A</v>
      </c>
      <c r="J44" s="460">
        <v>40</v>
      </c>
    </row>
    <row r="45" spans="2:10" ht="14.1" customHeight="1">
      <c r="B45" s="346" t="str">
        <f>'Transfer MRF Outputs'!A60</f>
        <v>Total Annual Facility Costs</v>
      </c>
      <c r="C45" s="347" t="e">
        <f>'Transfer MRF Outputs'!B60</f>
        <v>#N/A</v>
      </c>
      <c r="D45" s="347" t="e">
        <f>'Transfer MRF Outputs'!C60</f>
        <v>#N/A</v>
      </c>
      <c r="E45" s="347" t="e">
        <f>'Transfer MRF Outputs'!D60</f>
        <v>#N/A</v>
      </c>
      <c r="F45" s="347" t="e">
        <f>'Transfer MRF Outputs'!E60</f>
        <v>#N/A</v>
      </c>
      <c r="G45" s="347" t="e">
        <f>'Transfer MRF Outputs'!F60</f>
        <v>#N/A</v>
      </c>
      <c r="H45" s="347" t="e">
        <f>'Transfer MRF Outputs'!G60</f>
        <v>#N/A</v>
      </c>
      <c r="I45" s="347" t="e">
        <f>'Transfer MRF Outputs'!H60</f>
        <v>#N/A</v>
      </c>
      <c r="J45" s="460">
        <v>41</v>
      </c>
    </row>
    <row r="46" spans="2:10" ht="14.1" customHeight="1">
      <c r="B46" s="346" t="s">
        <v>593</v>
      </c>
      <c r="C46" s="347" t="e">
        <f>C44+C45</f>
        <v>#N/A</v>
      </c>
      <c r="D46" s="347" t="e">
        <f t="shared" ref="D46:H46" si="5">D44+D45</f>
        <v>#N/A</v>
      </c>
      <c r="E46" s="347" t="e">
        <f t="shared" si="5"/>
        <v>#N/A</v>
      </c>
      <c r="F46" s="347" t="e">
        <f t="shared" si="5"/>
        <v>#N/A</v>
      </c>
      <c r="G46" s="347" t="e">
        <f t="shared" si="5"/>
        <v>#N/A</v>
      </c>
      <c r="H46" s="347" t="e">
        <f t="shared" si="5"/>
        <v>#N/A</v>
      </c>
      <c r="I46" s="347" t="e">
        <f>I44+I45</f>
        <v>#N/A</v>
      </c>
      <c r="J46" s="460">
        <v>42</v>
      </c>
    </row>
    <row r="47" spans="2:10" ht="14.1" customHeight="1">
      <c r="B47" s="346" t="str">
        <f>'Transfer MRF Outputs'!A61</f>
        <v>Total Facility Cost per Ton</v>
      </c>
      <c r="C47" s="348" t="e">
        <f>'Transfer MRF Outputs'!B61</f>
        <v>#N/A</v>
      </c>
      <c r="D47" s="348" t="e">
        <f>'Transfer MRF Outputs'!C61</f>
        <v>#N/A</v>
      </c>
      <c r="E47" s="348" t="e">
        <f>'Transfer MRF Outputs'!D61</f>
        <v>#N/A</v>
      </c>
      <c r="F47" s="348" t="e">
        <f>'Transfer MRF Outputs'!E61</f>
        <v>#N/A</v>
      </c>
      <c r="G47" s="348" t="e">
        <f>'Transfer MRF Outputs'!F61</f>
        <v>#N/A</v>
      </c>
      <c r="H47" s="348" t="e">
        <f>'Transfer MRF Outputs'!G61</f>
        <v>#N/A</v>
      </c>
      <c r="I47" s="348" t="e">
        <f>'Transfer MRF Outputs'!H61</f>
        <v>#N/A</v>
      </c>
      <c r="J47" s="460">
        <v>43</v>
      </c>
    </row>
    <row r="48" spans="2:10" ht="14.1" customHeight="1">
      <c r="B48" s="346" t="str">
        <f>'Transfer MRF Outputs'!A67</f>
        <v>Transfer Cost per Ton</v>
      </c>
      <c r="C48" s="338" t="e">
        <f>'Transfer MRF Outputs'!B67</f>
        <v>#N/A</v>
      </c>
      <c r="D48" s="338" t="e">
        <f>'Transfer MRF Outputs'!C67</f>
        <v>#N/A</v>
      </c>
      <c r="E48" s="338" t="e">
        <f>'Transfer MRF Outputs'!D67</f>
        <v>#N/A</v>
      </c>
      <c r="F48" s="338" t="e">
        <f>'Transfer MRF Outputs'!E67</f>
        <v>#N/A</v>
      </c>
      <c r="G48" s="338" t="e">
        <f>'Transfer MRF Outputs'!F67</f>
        <v>#N/A</v>
      </c>
      <c r="H48" s="338" t="e">
        <f>'Transfer MRF Outputs'!G67</f>
        <v>#N/A</v>
      </c>
      <c r="I48" s="338" t="e">
        <f>'Transfer MRF Outputs'!H67</f>
        <v>#N/A</v>
      </c>
      <c r="J48" s="460">
        <v>44</v>
      </c>
    </row>
    <row r="49" spans="2:10" ht="14.1" customHeight="1">
      <c r="B49" s="346" t="str">
        <f>'Transfer MRF Outputs'!A73</f>
        <v>Thrid Party MRF Tip Fee (including Revenue Share)</v>
      </c>
      <c r="C49" s="349">
        <f>'Transfer MRF Outputs'!B73</f>
        <v>0</v>
      </c>
      <c r="D49" s="349">
        <f>'Transfer MRF Outputs'!C73</f>
        <v>0</v>
      </c>
      <c r="E49" s="349">
        <f>'Transfer MRF Outputs'!D73</f>
        <v>0</v>
      </c>
      <c r="F49" s="349">
        <f>'Transfer MRF Outputs'!E73</f>
        <v>0</v>
      </c>
      <c r="G49" s="349">
        <f>'Transfer MRF Outputs'!F73</f>
        <v>0</v>
      </c>
      <c r="H49" s="349">
        <f>'Transfer MRF Outputs'!G73</f>
        <v>0</v>
      </c>
      <c r="I49" s="349">
        <f>'Transfer MRF Outputs'!H73</f>
        <v>0</v>
      </c>
      <c r="J49" s="460">
        <v>45</v>
      </c>
    </row>
    <row r="50" spans="2:10" s="350" customFormat="1" ht="14.1" customHeight="1">
      <c r="B50" s="349" t="s">
        <v>431</v>
      </c>
      <c r="C50" s="338" t="e">
        <f>'Transfer MRF Outputs'!B76</f>
        <v>#N/A</v>
      </c>
      <c r="D50" s="338" t="e">
        <f>'Transfer MRF Outputs'!C76</f>
        <v>#N/A</v>
      </c>
      <c r="E50" s="338" t="e">
        <f>'Transfer MRF Outputs'!D76</f>
        <v>#N/A</v>
      </c>
      <c r="F50" s="338" t="e">
        <f>'Transfer MRF Outputs'!E76</f>
        <v>#N/A</v>
      </c>
      <c r="G50" s="338" t="e">
        <f>'Transfer MRF Outputs'!F76</f>
        <v>#N/A</v>
      </c>
      <c r="H50" s="338" t="e">
        <f>'Transfer MRF Outputs'!G76</f>
        <v>#N/A</v>
      </c>
      <c r="I50" s="338" t="e">
        <f>'Transfer MRF Outputs'!H76</f>
        <v>#N/A</v>
      </c>
      <c r="J50" s="460">
        <v>46</v>
      </c>
    </row>
    <row r="51" spans="2:10" ht="14.1" customHeight="1">
      <c r="B51" s="346" t="s">
        <v>486</v>
      </c>
      <c r="C51" s="348" t="e">
        <f>'Transfer MRF Outputs'!B77</f>
        <v>#N/A</v>
      </c>
      <c r="D51" s="348" t="e">
        <f>'Transfer MRF Outputs'!C77</f>
        <v>#N/A</v>
      </c>
      <c r="E51" s="348" t="e">
        <f>'Transfer MRF Outputs'!D77</f>
        <v>#N/A</v>
      </c>
      <c r="F51" s="348" t="e">
        <f>'Transfer MRF Outputs'!E77</f>
        <v>#N/A</v>
      </c>
      <c r="G51" s="348" t="e">
        <f>'Transfer MRF Outputs'!F77</f>
        <v>#N/A</v>
      </c>
      <c r="H51" s="348" t="e">
        <f>'Transfer MRF Outputs'!G77</f>
        <v>#N/A</v>
      </c>
      <c r="I51" s="348" t="e">
        <f>'Transfer MRF Outputs'!H77</f>
        <v>#N/A</v>
      </c>
      <c r="J51" s="460">
        <v>47</v>
      </c>
    </row>
    <row r="52" spans="2:10" ht="14.1" customHeight="1">
      <c r="B52" s="351" t="s">
        <v>487</v>
      </c>
      <c r="C52" s="348"/>
      <c r="D52" s="352"/>
      <c r="E52" s="353"/>
      <c r="F52" s="352"/>
      <c r="G52" s="353"/>
      <c r="H52" s="352"/>
      <c r="I52" s="353"/>
      <c r="J52" s="460">
        <v>48</v>
      </c>
    </row>
    <row r="53" spans="2:10" ht="14.1" customHeight="1">
      <c r="B53" s="346" t="s">
        <v>485</v>
      </c>
      <c r="C53" s="348" t="e">
        <f>C11+C41+C51</f>
        <v>#N/A</v>
      </c>
      <c r="D53" s="348" t="e">
        <f t="shared" ref="D53:H53" si="6">D11+D41+D51</f>
        <v>#N/A</v>
      </c>
      <c r="E53" s="348" t="e">
        <f t="shared" si="6"/>
        <v>#N/A</v>
      </c>
      <c r="F53" s="348" t="e">
        <f t="shared" si="6"/>
        <v>#N/A</v>
      </c>
      <c r="G53" s="348" t="e">
        <f t="shared" si="6"/>
        <v>#N/A</v>
      </c>
      <c r="H53" s="348" t="e">
        <f t="shared" si="6"/>
        <v>#N/A</v>
      </c>
      <c r="I53" s="348" t="e">
        <f>I11+I41+I51</f>
        <v>#N/A</v>
      </c>
      <c r="J53" s="460">
        <v>49</v>
      </c>
    </row>
    <row r="54" spans="2:10" ht="14.1" customHeight="1">
      <c r="B54" s="346" t="s">
        <v>431</v>
      </c>
      <c r="C54" s="348" t="e">
        <f>C13+C50+DisposalCostsRevenues!C3</f>
        <v>#N/A</v>
      </c>
      <c r="D54" s="348" t="e">
        <f>D13+D50+DisposalCostsRevenues!D3</f>
        <v>#N/A</v>
      </c>
      <c r="E54" s="348" t="e">
        <f>E13+E50+DisposalCostsRevenues!E3</f>
        <v>#N/A</v>
      </c>
      <c r="F54" s="348" t="e">
        <f>F13+F50+DisposalCostsRevenues!F3</f>
        <v>#N/A</v>
      </c>
      <c r="G54" s="348" t="e">
        <f>G13+G50+DisposalCostsRevenues!G3</f>
        <v>#N/A</v>
      </c>
      <c r="H54" s="348" t="e">
        <f>H13+H50+DisposalCostsRevenues!H3</f>
        <v>#N/A</v>
      </c>
      <c r="I54" s="348" t="e">
        <f>I13+I50+DisposalCostsRevenues!I3</f>
        <v>#N/A</v>
      </c>
      <c r="J54" s="460">
        <v>50</v>
      </c>
    </row>
    <row r="55" spans="2:10" ht="14.1" customHeight="1">
      <c r="B55" s="354" t="s">
        <v>483</v>
      </c>
      <c r="C55" s="334"/>
      <c r="D55" s="334"/>
      <c r="E55" s="334"/>
      <c r="F55" s="334"/>
      <c r="G55" s="334"/>
      <c r="H55" s="334"/>
      <c r="I55" s="334"/>
      <c r="J55" s="460">
        <v>51</v>
      </c>
    </row>
    <row r="56" spans="2:10" ht="14.1" customHeight="1">
      <c r="B56" s="323" t="s">
        <v>216</v>
      </c>
      <c r="C56" s="338" t="e">
        <f>'Transfer MRF Outputs'!B81</f>
        <v>#N/A</v>
      </c>
      <c r="D56" s="338" t="e">
        <f>'Transfer MRF Outputs'!C81</f>
        <v>#N/A</v>
      </c>
      <c r="E56" s="343" t="e">
        <f>'Transfer MRF Outputs'!D81</f>
        <v>#N/A</v>
      </c>
      <c r="F56" s="343" t="e">
        <f>'Transfer MRF Outputs'!E81</f>
        <v>#N/A</v>
      </c>
      <c r="G56" s="343" t="e">
        <f>'Transfer MRF Outputs'!F81</f>
        <v>#N/A</v>
      </c>
      <c r="H56" s="343" t="e">
        <f>'Transfer MRF Outputs'!G81</f>
        <v>#N/A</v>
      </c>
      <c r="I56" s="343" t="e">
        <f>'Transfer MRF Outputs'!H81</f>
        <v>#N/A</v>
      </c>
      <c r="J56" s="460">
        <v>52</v>
      </c>
    </row>
    <row r="57" spans="2:10" ht="14.1" customHeight="1">
      <c r="B57" s="325" t="s">
        <v>485</v>
      </c>
      <c r="C57" s="338" t="e">
        <f>'Transfer MRF Outputs'!B84</f>
        <v>#N/A</v>
      </c>
      <c r="D57" s="338" t="e">
        <f>'Transfer MRF Outputs'!C84</f>
        <v>#N/A</v>
      </c>
      <c r="E57" s="338" t="e">
        <f>'Transfer MRF Outputs'!D84</f>
        <v>#N/A</v>
      </c>
      <c r="F57" s="338" t="e">
        <f>'Transfer MRF Outputs'!E84</f>
        <v>#N/A</v>
      </c>
      <c r="G57" s="338" t="e">
        <f>'Transfer MRF Outputs'!F84</f>
        <v>#N/A</v>
      </c>
      <c r="H57" s="338" t="e">
        <f>'Transfer MRF Outputs'!G84</f>
        <v>#N/A</v>
      </c>
      <c r="I57" s="462" t="e">
        <f>'Transfer MRF Outputs'!H84</f>
        <v>#N/A</v>
      </c>
      <c r="J57" s="460">
        <v>53</v>
      </c>
    </row>
    <row r="58" spans="2:10" ht="14.1" customHeight="1" thickBot="1">
      <c r="B58" s="325" t="s">
        <v>217</v>
      </c>
      <c r="C58" s="355" t="e">
        <f>'Transfer MRF Outputs'!B83</f>
        <v>#N/A</v>
      </c>
      <c r="D58" s="355" t="e">
        <f>'Transfer MRF Outputs'!C83</f>
        <v>#N/A</v>
      </c>
      <c r="E58" s="461" t="e">
        <f>'Transfer MRF Outputs'!D83</f>
        <v>#N/A</v>
      </c>
      <c r="F58" s="355" t="e">
        <f>'Transfer MRF Outputs'!E83</f>
        <v>#N/A</v>
      </c>
      <c r="G58" s="355" t="e">
        <f>'Transfer MRF Outputs'!F83</f>
        <v>#N/A</v>
      </c>
      <c r="H58" s="355" t="e">
        <f>'Transfer MRF Outputs'!G83</f>
        <v>#N/A</v>
      </c>
      <c r="I58" s="461" t="e">
        <f>'Transfer MRF Outputs'!H83</f>
        <v>#N/A</v>
      </c>
      <c r="J58" s="460">
        <v>54</v>
      </c>
    </row>
    <row r="59" spans="2:10" ht="14.1" customHeight="1" thickBot="1">
      <c r="B59" s="333" t="s">
        <v>488</v>
      </c>
      <c r="C59" s="355"/>
      <c r="D59" s="355"/>
      <c r="E59" s="355"/>
      <c r="F59" s="355"/>
      <c r="G59" s="355"/>
      <c r="H59" s="355"/>
      <c r="I59" s="355"/>
      <c r="J59" s="460">
        <v>55</v>
      </c>
    </row>
    <row r="60" spans="2:10" ht="14.1" customHeight="1" thickBot="1">
      <c r="B60" s="329" t="s">
        <v>217</v>
      </c>
      <c r="C60" s="479" t="e">
        <f>IF(C58&lt;0,C58+C41+C13,0)</f>
        <v>#N/A</v>
      </c>
      <c r="D60" s="479" t="e">
        <f t="shared" ref="D60:H60" si="7">IF(D58&lt;0,D58+D41+D13,0)</f>
        <v>#N/A</v>
      </c>
      <c r="E60" s="479" t="e">
        <f>IF(E58&lt;0,E58+E41+E13,0)</f>
        <v>#N/A</v>
      </c>
      <c r="F60" s="479" t="e">
        <f t="shared" si="7"/>
        <v>#N/A</v>
      </c>
      <c r="G60" s="479" t="e">
        <f t="shared" si="7"/>
        <v>#N/A</v>
      </c>
      <c r="H60" s="479" t="e">
        <f t="shared" si="7"/>
        <v>#N/A</v>
      </c>
      <c r="I60" s="479" t="e">
        <f>IF(I58&lt;0,I58+I41+I13,0)</f>
        <v>#N/A</v>
      </c>
      <c r="J60" s="460">
        <v>56</v>
      </c>
    </row>
    <row r="61" spans="2:10">
      <c r="B61" s="422" t="s">
        <v>598</v>
      </c>
      <c r="C61" s="481"/>
      <c r="D61" s="481"/>
      <c r="E61" s="481"/>
      <c r="F61" s="481"/>
      <c r="G61" s="481"/>
      <c r="H61" s="481"/>
      <c r="I61" s="482"/>
      <c r="J61" s="460">
        <v>57</v>
      </c>
    </row>
    <row r="62" spans="2:10">
      <c r="B62" s="425" t="s">
        <v>217</v>
      </c>
      <c r="C62" s="420" t="e">
        <f>C63/C6</f>
        <v>#N/A</v>
      </c>
      <c r="D62" s="420" t="e">
        <f t="shared" ref="D62:I62" si="8">D63/D6</f>
        <v>#N/A</v>
      </c>
      <c r="E62" s="420" t="e">
        <f t="shared" si="8"/>
        <v>#N/A</v>
      </c>
      <c r="F62" s="420" t="e">
        <f t="shared" si="8"/>
        <v>#N/A</v>
      </c>
      <c r="G62" s="420" t="e">
        <f t="shared" si="8"/>
        <v>#N/A</v>
      </c>
      <c r="H62" s="420" t="e">
        <f t="shared" si="8"/>
        <v>#N/A</v>
      </c>
      <c r="I62" s="426" t="e">
        <f t="shared" si="8"/>
        <v>#N/A</v>
      </c>
      <c r="J62" s="460">
        <v>58</v>
      </c>
    </row>
    <row r="63" spans="2:10">
      <c r="B63" s="425" t="s">
        <v>122</v>
      </c>
      <c r="C63" s="480" t="e">
        <f>C64+C65</f>
        <v>#N/A</v>
      </c>
      <c r="D63" s="480" t="e">
        <f t="shared" ref="D63:I63" si="9">D64+D65</f>
        <v>#N/A</v>
      </c>
      <c r="E63" s="480" t="e">
        <f t="shared" si="9"/>
        <v>#N/A</v>
      </c>
      <c r="F63" s="480" t="e">
        <f t="shared" si="9"/>
        <v>#N/A</v>
      </c>
      <c r="G63" s="480" t="e">
        <f t="shared" si="9"/>
        <v>#N/A</v>
      </c>
      <c r="H63" s="480" t="e">
        <f t="shared" si="9"/>
        <v>#N/A</v>
      </c>
      <c r="I63" s="483" t="e">
        <f t="shared" si="9"/>
        <v>#N/A</v>
      </c>
      <c r="J63" s="460">
        <v>59</v>
      </c>
    </row>
    <row r="64" spans="2:10">
      <c r="B64" s="425" t="s">
        <v>611</v>
      </c>
      <c r="C64" s="420" t="e">
        <f>TruckCosts!N40</f>
        <v>#N/A</v>
      </c>
      <c r="D64" s="420" t="e">
        <f>-TruckCosts!O40</f>
        <v>#N/A</v>
      </c>
      <c r="E64" s="420" t="e">
        <f>-TruckCosts!P40</f>
        <v>#N/A</v>
      </c>
      <c r="F64" s="420" t="e">
        <f>-TruckCosts!Q40</f>
        <v>#N/A</v>
      </c>
      <c r="G64" s="420" t="e">
        <f>-TruckCosts!R40</f>
        <v>#N/A</v>
      </c>
      <c r="H64" s="420" t="e">
        <f>-TruckCosts!S40</f>
        <v>#N/A</v>
      </c>
      <c r="I64" s="420" t="e">
        <f>-TruckCosts!T40</f>
        <v>#N/A</v>
      </c>
      <c r="J64" s="460">
        <v>60</v>
      </c>
    </row>
    <row r="65" spans="2:10" ht="12.75" thickBot="1">
      <c r="B65" s="427" t="s">
        <v>181</v>
      </c>
      <c r="C65" s="428" t="e">
        <f>StaffingCosts!M21</f>
        <v>#N/A</v>
      </c>
      <c r="D65" s="428" t="e">
        <f>-StaffingCosts!N21</f>
        <v>#N/A</v>
      </c>
      <c r="E65" s="428" t="e">
        <f>-StaffingCosts!O21</f>
        <v>#N/A</v>
      </c>
      <c r="F65" s="428" t="e">
        <f>-StaffingCosts!P21</f>
        <v>#N/A</v>
      </c>
      <c r="G65" s="428" t="e">
        <f>-StaffingCosts!Q21</f>
        <v>#N/A</v>
      </c>
      <c r="H65" s="428" t="e">
        <f>-StaffingCosts!R21</f>
        <v>#N/A</v>
      </c>
      <c r="I65" s="428" t="e">
        <f>-StaffingCosts!S21</f>
        <v>#N/A</v>
      </c>
      <c r="J65" s="460">
        <v>61</v>
      </c>
    </row>
  </sheetData>
  <sheetProtection algorithmName="SHA-512" hashValue="0UCmaXd0yffP83NsqsmWXEeQYRJc5tUqDqfeCiLi7caRYJ1f7nbG+i5jdYzvfxwjNc0PUR+Q2qB9pz4wS3KHOQ==" saltValue="YuMZbZDzy7gx/PnZhjfqxQ==" spinCount="100000" sheet="1" objects="1" scenarios="1"/>
  <customSheetViews>
    <customSheetView guid="{C6E026A6-065F-4BC7-8A1C-5537BAE31A06}" fitToPage="1" state="hidden" topLeftCell="A27">
      <selection activeCell="I45" sqref="I45"/>
      <pageMargins left="0.7" right="0.7" top="0.75" bottom="0.75" header="0.3" footer="0.3"/>
      <pageSetup scale="88" orientation="landscape" horizontalDpi="4294967293" verticalDpi="0" r:id="rId1"/>
    </customSheetView>
    <customSheetView guid="{C1E42E27-80DF-5D46-A74B-2BA4AA86045C}" fitToPage="1" state="hidden" topLeftCell="A27">
      <selection activeCell="I45" sqref="I45"/>
      <pageMargins left="0.7" right="0.7" top="0.75" bottom="0.75" header="0.3" footer="0.3"/>
      <pageSetup scale="88" orientation="landscape" horizontalDpi="4294967293" verticalDpi="0" r:id="rId2"/>
    </customSheetView>
    <customSheetView guid="{487CB698-FD0E-4580-BCE5-B1F3904B4ADD}">
      <selection activeCell="D19" sqref="D19"/>
      <pageMargins left="0.7" right="0.7" top="0.75" bottom="0.75" header="0.3" footer="0.3"/>
    </customSheetView>
  </customSheetViews>
  <mergeCells count="3">
    <mergeCell ref="H4:I4"/>
    <mergeCell ref="F4:G4"/>
    <mergeCell ref="D4:E4"/>
  </mergeCells>
  <pageMargins left="0.7" right="0.7" top="0.75" bottom="0.75" header="0.3" footer="0.3"/>
  <pageSetup scale="88" orientation="landscape" horizontalDpi="4294967293" verticalDpi="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31" workbookViewId="0">
      <selection activeCell="C41" sqref="C41"/>
    </sheetView>
  </sheetViews>
  <sheetFormatPr defaultColWidth="8.85546875" defaultRowHeight="12.75"/>
  <cols>
    <col min="1" max="1" width="17.85546875" style="1" customWidth="1"/>
    <col min="2" max="2" width="18.42578125" style="1" customWidth="1"/>
    <col min="3" max="3" width="12.42578125" style="1" customWidth="1"/>
    <col min="4" max="4" width="30.85546875" style="1" customWidth="1"/>
    <col min="5" max="5" width="11.140625" style="1" hidden="1" customWidth="1"/>
    <col min="6" max="6" width="82.140625" style="1" hidden="1" customWidth="1"/>
    <col min="7" max="7" width="10.140625" style="1" customWidth="1"/>
    <col min="8" max="8" width="12.140625" style="1" customWidth="1"/>
    <col min="9" max="9" width="5" style="1" customWidth="1"/>
    <col min="10" max="16384" width="8.85546875" style="1"/>
  </cols>
  <sheetData>
    <row r="1" spans="1:6">
      <c r="A1" s="2" t="s">
        <v>84</v>
      </c>
      <c r="B1" s="441"/>
      <c r="C1" s="441"/>
      <c r="D1" s="441"/>
    </row>
    <row r="2" spans="1:6">
      <c r="A2" s="442" t="s">
        <v>72</v>
      </c>
      <c r="B2" s="443" t="s">
        <v>67</v>
      </c>
      <c r="C2" s="443" t="s">
        <v>66</v>
      </c>
      <c r="D2" s="443" t="s">
        <v>69</v>
      </c>
      <c r="E2" s="442" t="s">
        <v>9</v>
      </c>
      <c r="F2" s="442" t="s">
        <v>69</v>
      </c>
    </row>
    <row r="3" spans="1:6">
      <c r="B3" s="448"/>
      <c r="C3" s="448"/>
      <c r="D3" s="448"/>
    </row>
    <row r="4" spans="1:6" ht="25.5">
      <c r="A4" s="444" t="s">
        <v>73</v>
      </c>
      <c r="B4" s="449" t="s">
        <v>74</v>
      </c>
      <c r="C4" s="450">
        <v>50</v>
      </c>
      <c r="D4" s="449" t="s">
        <v>562</v>
      </c>
      <c r="E4" s="3" t="s">
        <v>68</v>
      </c>
      <c r="F4" s="3" t="s">
        <v>103</v>
      </c>
    </row>
    <row r="5" spans="1:6" ht="25.5">
      <c r="A5" s="444" t="s">
        <v>73</v>
      </c>
      <c r="B5" s="449" t="s">
        <v>85</v>
      </c>
      <c r="C5" s="450">
        <v>15</v>
      </c>
      <c r="D5" s="449" t="s">
        <v>561</v>
      </c>
      <c r="E5" s="3" t="s">
        <v>80</v>
      </c>
      <c r="F5" s="3" t="s">
        <v>88</v>
      </c>
    </row>
    <row r="6" spans="1:6" ht="25.5">
      <c r="A6" s="444" t="s">
        <v>73</v>
      </c>
      <c r="B6" s="449" t="s">
        <v>97</v>
      </c>
      <c r="C6" s="451">
        <v>0.05</v>
      </c>
      <c r="D6" s="449" t="s">
        <v>98</v>
      </c>
      <c r="E6" s="3" t="s">
        <v>80</v>
      </c>
      <c r="F6" s="3" t="s">
        <v>98</v>
      </c>
    </row>
    <row r="7" spans="1:6">
      <c r="A7" s="444" t="s">
        <v>73</v>
      </c>
      <c r="B7" s="449" t="s">
        <v>117</v>
      </c>
      <c r="C7" s="451">
        <v>0.01</v>
      </c>
      <c r="D7" s="449" t="s">
        <v>563</v>
      </c>
      <c r="E7" s="3" t="s">
        <v>80</v>
      </c>
      <c r="F7" s="3" t="s">
        <v>76</v>
      </c>
    </row>
    <row r="8" spans="1:6">
      <c r="A8" s="444" t="s">
        <v>73</v>
      </c>
      <c r="B8" s="449" t="s">
        <v>92</v>
      </c>
      <c r="C8" s="451">
        <v>4.4999999999999998E-2</v>
      </c>
      <c r="D8" s="449" t="s">
        <v>564</v>
      </c>
      <c r="E8" s="3" t="s">
        <v>80</v>
      </c>
      <c r="F8" s="3" t="s">
        <v>93</v>
      </c>
    </row>
    <row r="9" spans="1:6">
      <c r="A9" s="444" t="s">
        <v>73</v>
      </c>
      <c r="B9" s="449" t="s">
        <v>118</v>
      </c>
      <c r="C9" s="451">
        <v>0.02</v>
      </c>
      <c r="D9" s="449" t="s">
        <v>565</v>
      </c>
      <c r="E9" s="3" t="s">
        <v>80</v>
      </c>
      <c r="F9" s="3" t="s">
        <v>76</v>
      </c>
    </row>
    <row r="10" spans="1:6" ht="38.25">
      <c r="A10" s="444" t="s">
        <v>73</v>
      </c>
      <c r="B10" s="449" t="s">
        <v>75</v>
      </c>
      <c r="C10" s="452">
        <v>1.33</v>
      </c>
      <c r="D10" s="449" t="s">
        <v>566</v>
      </c>
      <c r="E10" s="3" t="s">
        <v>70</v>
      </c>
      <c r="F10" s="3" t="s">
        <v>71</v>
      </c>
    </row>
    <row r="11" spans="1:6" ht="25.5">
      <c r="A11" s="444" t="s">
        <v>73</v>
      </c>
      <c r="B11" s="449" t="s">
        <v>86</v>
      </c>
      <c r="C11" s="452">
        <v>0.5</v>
      </c>
      <c r="D11" s="449" t="s">
        <v>567</v>
      </c>
      <c r="E11" s="3" t="s">
        <v>80</v>
      </c>
      <c r="F11" s="3" t="s">
        <v>87</v>
      </c>
    </row>
    <row r="12" spans="1:6" ht="25.5">
      <c r="A12" s="444" t="s">
        <v>73</v>
      </c>
      <c r="B12" s="449" t="s">
        <v>77</v>
      </c>
      <c r="C12" s="452">
        <v>0.5</v>
      </c>
      <c r="D12" s="449" t="s">
        <v>568</v>
      </c>
      <c r="E12" s="3" t="s">
        <v>80</v>
      </c>
      <c r="F12" s="3" t="s">
        <v>102</v>
      </c>
    </row>
    <row r="13" spans="1:6" ht="25.5">
      <c r="A13" s="444" t="s">
        <v>73</v>
      </c>
      <c r="B13" s="449" t="s">
        <v>94</v>
      </c>
      <c r="C13" s="452">
        <v>0</v>
      </c>
      <c r="D13" s="449" t="s">
        <v>577</v>
      </c>
      <c r="E13" s="3" t="s">
        <v>80</v>
      </c>
      <c r="F13" s="3" t="s">
        <v>95</v>
      </c>
    </row>
    <row r="14" spans="1:6">
      <c r="A14" s="444" t="s">
        <v>73</v>
      </c>
      <c r="B14" s="449" t="s">
        <v>79</v>
      </c>
      <c r="C14" s="453">
        <v>0.5</v>
      </c>
      <c r="D14" s="449" t="s">
        <v>81</v>
      </c>
      <c r="E14" s="3" t="s">
        <v>80</v>
      </c>
      <c r="F14" s="3" t="s">
        <v>81</v>
      </c>
    </row>
    <row r="15" spans="1:6" ht="25.5">
      <c r="A15" s="444" t="s">
        <v>82</v>
      </c>
      <c r="B15" s="449" t="s">
        <v>57</v>
      </c>
      <c r="C15" s="449">
        <v>0.75</v>
      </c>
      <c r="D15" s="449" t="s">
        <v>578</v>
      </c>
      <c r="E15" s="3" t="s">
        <v>68</v>
      </c>
      <c r="F15" s="3" t="s">
        <v>83</v>
      </c>
    </row>
    <row r="16" spans="1:6">
      <c r="A16" s="444" t="s">
        <v>99</v>
      </c>
      <c r="B16" s="449" t="s">
        <v>100</v>
      </c>
      <c r="C16" s="449">
        <v>30</v>
      </c>
      <c r="D16" s="449" t="s">
        <v>493</v>
      </c>
      <c r="E16" s="3" t="s">
        <v>68</v>
      </c>
      <c r="F16" s="3" t="s">
        <v>101</v>
      </c>
    </row>
    <row r="17" spans="1:6" ht="38.25">
      <c r="A17" s="444" t="s">
        <v>73</v>
      </c>
      <c r="B17" s="449" t="s">
        <v>115</v>
      </c>
      <c r="C17" s="449">
        <v>7</v>
      </c>
      <c r="D17" s="449" t="s">
        <v>112</v>
      </c>
      <c r="E17" s="3" t="s">
        <v>68</v>
      </c>
      <c r="F17" s="3" t="s">
        <v>112</v>
      </c>
    </row>
    <row r="18" spans="1:6">
      <c r="A18" s="444" t="s">
        <v>73</v>
      </c>
      <c r="B18" s="449" t="s">
        <v>113</v>
      </c>
      <c r="C18" s="454">
        <v>0.03</v>
      </c>
      <c r="D18" s="449" t="s">
        <v>569</v>
      </c>
      <c r="E18" s="3" t="s">
        <v>68</v>
      </c>
      <c r="F18" s="3"/>
    </row>
    <row r="19" spans="1:6" ht="38.25">
      <c r="A19" s="444" t="s">
        <v>498</v>
      </c>
      <c r="B19" s="449" t="s">
        <v>130</v>
      </c>
      <c r="C19" s="449">
        <v>0.39</v>
      </c>
      <c r="D19" s="449" t="s">
        <v>131</v>
      </c>
      <c r="E19" s="3" t="s">
        <v>68</v>
      </c>
      <c r="F19" s="3" t="s">
        <v>131</v>
      </c>
    </row>
    <row r="20" spans="1:6" ht="25.5">
      <c r="A20" s="444" t="s">
        <v>498</v>
      </c>
      <c r="B20" s="449" t="s">
        <v>134</v>
      </c>
      <c r="C20" s="455">
        <v>8</v>
      </c>
      <c r="D20" s="449" t="s">
        <v>135</v>
      </c>
      <c r="E20" s="3" t="s">
        <v>68</v>
      </c>
      <c r="F20" s="3" t="s">
        <v>135</v>
      </c>
    </row>
    <row r="21" spans="1:6" ht="25.5">
      <c r="A21" s="444" t="s">
        <v>498</v>
      </c>
      <c r="B21" s="449" t="s">
        <v>579</v>
      </c>
      <c r="C21" s="456">
        <v>160000</v>
      </c>
      <c r="D21" s="449" t="s">
        <v>570</v>
      </c>
      <c r="E21" s="3" t="s">
        <v>68</v>
      </c>
      <c r="F21" s="3" t="s">
        <v>153</v>
      </c>
    </row>
    <row r="22" spans="1:6" ht="25.5">
      <c r="A22" s="444" t="s">
        <v>498</v>
      </c>
      <c r="B22" s="449" t="s">
        <v>150</v>
      </c>
      <c r="C22" s="456">
        <v>250000</v>
      </c>
      <c r="D22" s="449" t="s">
        <v>571</v>
      </c>
      <c r="E22" s="3" t="s">
        <v>68</v>
      </c>
      <c r="F22" s="3" t="s">
        <v>492</v>
      </c>
    </row>
    <row r="23" spans="1:6" ht="25.5">
      <c r="A23" s="444" t="s">
        <v>498</v>
      </c>
      <c r="B23" s="449" t="s">
        <v>151</v>
      </c>
      <c r="C23" s="456">
        <v>320000</v>
      </c>
      <c r="D23" s="449" t="s">
        <v>572</v>
      </c>
      <c r="E23" s="3" t="s">
        <v>70</v>
      </c>
      <c r="F23" s="3" t="s">
        <v>492</v>
      </c>
    </row>
    <row r="24" spans="1:6">
      <c r="A24" s="444" t="s">
        <v>498</v>
      </c>
      <c r="B24" s="449" t="s">
        <v>156</v>
      </c>
      <c r="C24" s="450">
        <v>12000</v>
      </c>
      <c r="D24" s="449" t="s">
        <v>573</v>
      </c>
      <c r="E24" s="3" t="s">
        <v>68</v>
      </c>
      <c r="F24" s="3" t="s">
        <v>157</v>
      </c>
    </row>
    <row r="25" spans="1:6" ht="25.5">
      <c r="A25" s="444" t="s">
        <v>498</v>
      </c>
      <c r="B25" s="449" t="s">
        <v>158</v>
      </c>
      <c r="C25" s="450">
        <v>21400</v>
      </c>
      <c r="D25" s="449" t="s">
        <v>573</v>
      </c>
      <c r="E25" s="3" t="s">
        <v>68</v>
      </c>
      <c r="F25" s="3" t="s">
        <v>159</v>
      </c>
    </row>
    <row r="26" spans="1:6" ht="25.5">
      <c r="A26" s="444" t="s">
        <v>164</v>
      </c>
      <c r="B26" s="449" t="s">
        <v>165</v>
      </c>
      <c r="C26" s="450">
        <v>66000</v>
      </c>
      <c r="D26" s="449" t="s">
        <v>574</v>
      </c>
      <c r="E26" s="3" t="s">
        <v>68</v>
      </c>
      <c r="F26" s="3" t="s">
        <v>167</v>
      </c>
    </row>
    <row r="27" spans="1:6">
      <c r="A27" s="444" t="s">
        <v>164</v>
      </c>
      <c r="B27" s="449" t="s">
        <v>166</v>
      </c>
      <c r="C27" s="456">
        <v>76000</v>
      </c>
      <c r="D27" s="449" t="s">
        <v>574</v>
      </c>
      <c r="E27" s="3" t="s">
        <v>80</v>
      </c>
      <c r="F27" s="3" t="s">
        <v>88</v>
      </c>
    </row>
    <row r="28" spans="1:6">
      <c r="A28" s="444" t="s">
        <v>164</v>
      </c>
      <c r="B28" s="449" t="s">
        <v>171</v>
      </c>
      <c r="C28" s="456">
        <v>66000</v>
      </c>
      <c r="D28" s="449" t="s">
        <v>574</v>
      </c>
      <c r="E28" s="445" t="s">
        <v>80</v>
      </c>
      <c r="F28" s="3" t="s">
        <v>172</v>
      </c>
    </row>
    <row r="29" spans="1:6">
      <c r="A29" s="444" t="s">
        <v>498</v>
      </c>
      <c r="B29" s="449" t="s">
        <v>173</v>
      </c>
      <c r="C29" s="456">
        <v>30000</v>
      </c>
      <c r="D29" s="449" t="s">
        <v>575</v>
      </c>
      <c r="E29" s="3" t="s">
        <v>80</v>
      </c>
      <c r="F29" s="3"/>
    </row>
    <row r="30" spans="1:6">
      <c r="A30" s="444" t="s">
        <v>498</v>
      </c>
      <c r="B30" s="449" t="s">
        <v>499</v>
      </c>
      <c r="C30" s="456">
        <v>50000</v>
      </c>
      <c r="D30" s="449" t="s">
        <v>575</v>
      </c>
      <c r="E30" s="3" t="s">
        <v>80</v>
      </c>
      <c r="F30" s="3" t="s">
        <v>500</v>
      </c>
    </row>
    <row r="31" spans="1:6" ht="25.5">
      <c r="A31" s="444" t="s">
        <v>498</v>
      </c>
      <c r="B31" s="449" t="s">
        <v>174</v>
      </c>
      <c r="C31" s="450">
        <v>9000</v>
      </c>
      <c r="D31" s="449" t="s">
        <v>176</v>
      </c>
      <c r="E31" s="3" t="s">
        <v>175</v>
      </c>
      <c r="F31" s="3" t="s">
        <v>176</v>
      </c>
    </row>
    <row r="32" spans="1:6" ht="25.5">
      <c r="A32" s="444" t="s">
        <v>498</v>
      </c>
      <c r="B32" s="449" t="s">
        <v>501</v>
      </c>
      <c r="C32" s="450">
        <v>15000</v>
      </c>
      <c r="D32" s="449" t="s">
        <v>176</v>
      </c>
      <c r="E32" s="3" t="s">
        <v>80</v>
      </c>
      <c r="F32" s="3" t="s">
        <v>502</v>
      </c>
    </row>
    <row r="33" spans="1:8">
      <c r="A33" s="444" t="s">
        <v>498</v>
      </c>
      <c r="B33" s="449" t="s">
        <v>177</v>
      </c>
      <c r="C33" s="451">
        <v>0.05</v>
      </c>
      <c r="D33" s="449" t="s">
        <v>178</v>
      </c>
      <c r="E33" s="3" t="s">
        <v>80</v>
      </c>
      <c r="F33" s="3" t="s">
        <v>178</v>
      </c>
    </row>
    <row r="34" spans="1:8">
      <c r="A34" s="444" t="s">
        <v>164</v>
      </c>
      <c r="B34" s="449" t="s">
        <v>177</v>
      </c>
      <c r="C34" s="451">
        <v>0.05</v>
      </c>
      <c r="D34" s="449" t="s">
        <v>178</v>
      </c>
      <c r="E34" s="3" t="s">
        <v>80</v>
      </c>
      <c r="F34" s="3" t="s">
        <v>178</v>
      </c>
    </row>
    <row r="35" spans="1:8" ht="38.25">
      <c r="A35" s="444" t="s">
        <v>82</v>
      </c>
      <c r="B35" s="449" t="s">
        <v>202</v>
      </c>
      <c r="C35" s="450">
        <v>2</v>
      </c>
      <c r="D35" s="449" t="s">
        <v>580</v>
      </c>
      <c r="E35" s="3" t="s">
        <v>68</v>
      </c>
      <c r="F35" s="3" t="s">
        <v>83</v>
      </c>
    </row>
    <row r="36" spans="1:8" ht="38.25">
      <c r="A36" s="444" t="s">
        <v>581</v>
      </c>
      <c r="B36" s="449" t="s">
        <v>518</v>
      </c>
      <c r="C36" s="455">
        <f>C37*2.5</f>
        <v>75</v>
      </c>
      <c r="D36" s="449" t="s">
        <v>517</v>
      </c>
      <c r="E36" s="3" t="s">
        <v>80</v>
      </c>
      <c r="F36" s="3" t="s">
        <v>517</v>
      </c>
    </row>
    <row r="37" spans="1:8" ht="38.25">
      <c r="A37" s="444" t="s">
        <v>581</v>
      </c>
      <c r="B37" s="449" t="s">
        <v>513</v>
      </c>
      <c r="C37" s="449">
        <v>30</v>
      </c>
      <c r="D37" s="449" t="s">
        <v>206</v>
      </c>
      <c r="E37" s="3" t="s">
        <v>80</v>
      </c>
      <c r="F37" s="3" t="s">
        <v>206</v>
      </c>
    </row>
    <row r="38" spans="1:8" ht="25.5">
      <c r="A38" s="444" t="s">
        <v>581</v>
      </c>
      <c r="B38" s="449" t="s">
        <v>207</v>
      </c>
      <c r="C38" s="449">
        <v>15</v>
      </c>
      <c r="D38" s="449" t="s">
        <v>206</v>
      </c>
      <c r="E38" s="3" t="s">
        <v>80</v>
      </c>
      <c r="F38" s="3" t="s">
        <v>206</v>
      </c>
    </row>
    <row r="39" spans="1:8">
      <c r="A39" s="444" t="s">
        <v>581</v>
      </c>
      <c r="B39" s="449" t="s">
        <v>208</v>
      </c>
      <c r="C39" s="452">
        <v>2.75</v>
      </c>
      <c r="D39" s="449" t="s">
        <v>516</v>
      </c>
      <c r="E39" s="3" t="s">
        <v>209</v>
      </c>
      <c r="F39" s="3" t="s">
        <v>516</v>
      </c>
    </row>
    <row r="40" spans="1:8">
      <c r="A40" s="444" t="s">
        <v>581</v>
      </c>
      <c r="B40" s="449" t="s">
        <v>210</v>
      </c>
      <c r="C40" s="449">
        <v>3</v>
      </c>
      <c r="D40" s="449" t="s">
        <v>576</v>
      </c>
      <c r="E40" s="3" t="s">
        <v>80</v>
      </c>
      <c r="F40" s="3" t="s">
        <v>211</v>
      </c>
    </row>
    <row r="41" spans="1:8">
      <c r="A41" s="444" t="s">
        <v>418</v>
      </c>
      <c r="B41" s="449" t="s">
        <v>419</v>
      </c>
      <c r="C41" s="457">
        <v>85</v>
      </c>
      <c r="D41" s="449" t="s">
        <v>420</v>
      </c>
      <c r="E41" s="3" t="s">
        <v>68</v>
      </c>
      <c r="F41" s="3" t="s">
        <v>420</v>
      </c>
    </row>
    <row r="42" spans="1:8" ht="25.5">
      <c r="A42" s="444" t="s">
        <v>450</v>
      </c>
      <c r="B42" s="449" t="s">
        <v>452</v>
      </c>
      <c r="C42" s="449">
        <f>IF(Input!C8&lt;=20000,G42,H42)</f>
        <v>3000</v>
      </c>
      <c r="D42" s="449" t="s">
        <v>451</v>
      </c>
      <c r="E42" s="446" t="s">
        <v>68</v>
      </c>
      <c r="F42" s="446" t="s">
        <v>451</v>
      </c>
      <c r="G42" s="1">
        <v>3000</v>
      </c>
      <c r="H42" s="1">
        <v>4500</v>
      </c>
    </row>
    <row r="43" spans="1:8">
      <c r="A43" s="444" t="s">
        <v>455</v>
      </c>
      <c r="B43" s="449" t="s">
        <v>582</v>
      </c>
      <c r="C43" s="449">
        <v>30</v>
      </c>
      <c r="D43" s="449"/>
      <c r="E43" s="3" t="s">
        <v>68</v>
      </c>
      <c r="F43" s="3"/>
    </row>
    <row r="44" spans="1:8">
      <c r="A44" s="444" t="s">
        <v>455</v>
      </c>
      <c r="B44" s="449" t="s">
        <v>583</v>
      </c>
      <c r="C44" s="458">
        <v>0.65</v>
      </c>
      <c r="D44" s="449"/>
      <c r="E44" s="3" t="s">
        <v>68</v>
      </c>
      <c r="F44" s="3"/>
    </row>
    <row r="45" spans="1:8">
      <c r="A45" s="444" t="s">
        <v>455</v>
      </c>
      <c r="B45" s="449" t="s">
        <v>584</v>
      </c>
      <c r="C45" s="449">
        <v>100</v>
      </c>
      <c r="D45" s="459"/>
      <c r="E45" s="3" t="s">
        <v>68</v>
      </c>
    </row>
    <row r="46" spans="1:8" ht="25.5">
      <c r="A46" s="444" t="s">
        <v>455</v>
      </c>
      <c r="B46" s="449" t="s">
        <v>585</v>
      </c>
      <c r="C46" s="450">
        <v>4000</v>
      </c>
      <c r="D46" s="449" t="s">
        <v>444</v>
      </c>
      <c r="E46" s="447" t="s">
        <v>68</v>
      </c>
      <c r="F46" s="447" t="s">
        <v>444</v>
      </c>
    </row>
  </sheetData>
  <sheetProtection algorithmName="SHA-512" hashValue="kCkQubQhJJQ5b5Lmzd1axkAuL35eqNlMox5wZHjWQgDOGs6TI8c5PTBhxiNBTRrCPBARkUqOJcZTTTkOMpcXiw==" saltValue="5MsFw8dJADLB2g30m2KmBg==" spinCount="100000" sheet="1" objects="1" scenarios="1"/>
  <customSheetViews>
    <customSheetView guid="{C6E026A6-065F-4BC7-8A1C-5537BAE31A06}" hiddenColumns="1" state="hidden" topLeftCell="A31">
      <selection activeCell="C41" sqref="C41"/>
      <pageMargins left="0.7" right="0.7" top="0.75" bottom="0.75" header="0.3" footer="0.3"/>
    </customSheetView>
    <customSheetView guid="{C1E42E27-80DF-5D46-A74B-2BA4AA86045C}" hiddenColumns="1" state="hidden" topLeftCell="A31">
      <selection activeCell="C41" sqref="C41"/>
      <pageMargins left="0.7" right="0.7" top="0.75" bottom="0.75" header="0.3" footer="0.3"/>
    </customSheetView>
  </customSheetView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DropDowns_LookUps!$A$70:$A$84</xm:f>
          </x14:formula1>
          <xm:sqref>C41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77"/>
  <sheetViews>
    <sheetView topLeftCell="A100" workbookViewId="0"/>
  </sheetViews>
  <sheetFormatPr defaultColWidth="8.85546875" defaultRowHeight="12.75"/>
  <cols>
    <col min="1" max="1" width="35.140625" style="123" customWidth="1"/>
    <col min="2" max="2" width="12.85546875" style="123" bestFit="1" customWidth="1"/>
    <col min="3" max="3" width="12.140625" style="123" bestFit="1" customWidth="1"/>
    <col min="4" max="4" width="12.140625" style="123" customWidth="1"/>
    <col min="5" max="5" width="11.140625" style="123" customWidth="1"/>
    <col min="6" max="6" width="17.85546875" style="123" bestFit="1" customWidth="1"/>
    <col min="7" max="7" width="14.85546875" style="123" bestFit="1" customWidth="1"/>
    <col min="8" max="8" width="12.85546875" style="123" customWidth="1"/>
    <col min="9" max="16384" width="8.85546875" style="123"/>
  </cols>
  <sheetData>
    <row r="1" spans="1:7">
      <c r="A1" s="123" t="s">
        <v>240</v>
      </c>
    </row>
    <row r="2" spans="1:7">
      <c r="A2" s="124" t="s">
        <v>241</v>
      </c>
      <c r="B2" s="125">
        <v>0.90718474000000004</v>
      </c>
      <c r="C2" s="123" t="s">
        <v>242</v>
      </c>
    </row>
    <row r="3" spans="1:7">
      <c r="A3" s="124" t="s">
        <v>243</v>
      </c>
      <c r="B3" s="125">
        <v>1.1023113109</v>
      </c>
      <c r="C3" s="123" t="s">
        <v>244</v>
      </c>
    </row>
    <row r="4" spans="1:7">
      <c r="A4" s="124" t="s">
        <v>243</v>
      </c>
      <c r="B4" s="126">
        <f>2000/B2</f>
        <v>2204.6226218487759</v>
      </c>
      <c r="C4" s="123" t="s">
        <v>245</v>
      </c>
    </row>
    <row r="5" spans="1:7">
      <c r="A5" s="124" t="s">
        <v>246</v>
      </c>
      <c r="B5" s="125">
        <v>0.76455485798</v>
      </c>
      <c r="C5" s="123" t="s">
        <v>247</v>
      </c>
    </row>
    <row r="6" spans="1:7">
      <c r="A6" s="124" t="s">
        <v>248</v>
      </c>
      <c r="B6" s="127">
        <v>1.3079506192999999</v>
      </c>
      <c r="C6" s="123" t="s">
        <v>249</v>
      </c>
    </row>
    <row r="7" spans="1:7">
      <c r="A7" s="124" t="s">
        <v>250</v>
      </c>
      <c r="B7" s="128">
        <v>9.2903040000000006E-2</v>
      </c>
      <c r="C7" s="123" t="s">
        <v>251</v>
      </c>
      <c r="E7" s="129"/>
    </row>
    <row r="8" spans="1:7">
      <c r="A8" s="124" t="s">
        <v>252</v>
      </c>
      <c r="B8" s="125">
        <v>0.45359237000000002</v>
      </c>
      <c r="C8" s="123" t="s">
        <v>253</v>
      </c>
    </row>
    <row r="9" spans="1:7">
      <c r="A9" s="124" t="s">
        <v>254</v>
      </c>
      <c r="B9" s="125">
        <f>1/B8</f>
        <v>2.2046226218487757</v>
      </c>
      <c r="C9" s="123" t="s">
        <v>255</v>
      </c>
    </row>
    <row r="10" spans="1:7">
      <c r="A10" s="124" t="s">
        <v>256</v>
      </c>
      <c r="B10" s="130">
        <v>1.6093440000000001</v>
      </c>
      <c r="C10" s="123" t="s">
        <v>257</v>
      </c>
    </row>
    <row r="11" spans="1:7">
      <c r="A11" s="124" t="s">
        <v>258</v>
      </c>
      <c r="B11" s="131">
        <v>1930</v>
      </c>
      <c r="C11" s="123" t="s">
        <v>259</v>
      </c>
    </row>
    <row r="12" spans="1:7">
      <c r="A12" s="124"/>
      <c r="B12" s="125"/>
    </row>
    <row r="13" spans="1:7">
      <c r="A13" s="124"/>
    </row>
    <row r="14" spans="1:7" ht="25.5">
      <c r="A14" s="123" t="s">
        <v>260</v>
      </c>
      <c r="B14" s="132" t="s">
        <v>261</v>
      </c>
      <c r="C14" s="132" t="s">
        <v>262</v>
      </c>
      <c r="D14" s="132"/>
      <c r="E14" s="132" t="s">
        <v>263</v>
      </c>
      <c r="F14" s="133" t="s">
        <v>264</v>
      </c>
      <c r="G14" s="133"/>
    </row>
    <row r="15" spans="1:7">
      <c r="A15" s="123" t="s">
        <v>265</v>
      </c>
      <c r="B15" s="134">
        <v>15</v>
      </c>
      <c r="C15" s="135">
        <f t="shared" ref="C15:C20" si="0">B15*40*52</f>
        <v>31200</v>
      </c>
      <c r="D15" s="135"/>
      <c r="E15" s="135">
        <f>C15*$B$23</f>
        <v>9360</v>
      </c>
      <c r="F15" s="136">
        <f>E15+C15</f>
        <v>40560</v>
      </c>
    </row>
    <row r="16" spans="1:7">
      <c r="A16" s="123" t="s">
        <v>266</v>
      </c>
      <c r="B16" s="134">
        <v>23</v>
      </c>
      <c r="C16" s="135">
        <f t="shared" si="0"/>
        <v>47840</v>
      </c>
      <c r="D16" s="135"/>
      <c r="E16" s="135">
        <f t="shared" ref="E16:E20" si="1">C16*$B$23</f>
        <v>14352</v>
      </c>
      <c r="F16" s="136">
        <f t="shared" ref="F16:F20" si="2">E16+C16</f>
        <v>62192</v>
      </c>
    </row>
    <row r="17" spans="1:6">
      <c r="A17" s="123" t="s">
        <v>267</v>
      </c>
      <c r="B17" s="134">
        <v>17.5</v>
      </c>
      <c r="C17" s="135">
        <f t="shared" si="0"/>
        <v>36400</v>
      </c>
      <c r="D17" s="135"/>
      <c r="E17" s="135">
        <f t="shared" si="1"/>
        <v>10920</v>
      </c>
      <c r="F17" s="136">
        <f t="shared" si="2"/>
        <v>47320</v>
      </c>
    </row>
    <row r="18" spans="1:6">
      <c r="A18" s="123" t="s">
        <v>268</v>
      </c>
      <c r="B18" s="134">
        <v>17.5</v>
      </c>
      <c r="C18" s="135">
        <f t="shared" si="0"/>
        <v>36400</v>
      </c>
      <c r="D18" s="135"/>
      <c r="E18" s="135">
        <f t="shared" si="1"/>
        <v>10920</v>
      </c>
      <c r="F18" s="136">
        <f t="shared" si="2"/>
        <v>47320</v>
      </c>
    </row>
    <row r="19" spans="1:6">
      <c r="A19" s="123" t="s">
        <v>269</v>
      </c>
      <c r="B19" s="134">
        <v>15</v>
      </c>
      <c r="C19" s="135">
        <f t="shared" si="0"/>
        <v>31200</v>
      </c>
      <c r="D19" s="135"/>
      <c r="E19" s="135">
        <f t="shared" si="1"/>
        <v>9360</v>
      </c>
      <c r="F19" s="136">
        <f t="shared" si="2"/>
        <v>40560</v>
      </c>
    </row>
    <row r="20" spans="1:6">
      <c r="A20" s="123" t="s">
        <v>270</v>
      </c>
      <c r="B20" s="134">
        <v>27</v>
      </c>
      <c r="C20" s="135">
        <f t="shared" si="0"/>
        <v>56160</v>
      </c>
      <c r="D20" s="135"/>
      <c r="E20" s="135">
        <f t="shared" si="1"/>
        <v>16848</v>
      </c>
      <c r="F20" s="136">
        <f t="shared" si="2"/>
        <v>73008</v>
      </c>
    </row>
    <row r="22" spans="1:6">
      <c r="A22" s="123" t="s">
        <v>271</v>
      </c>
      <c r="B22" s="137">
        <v>0.03</v>
      </c>
    </row>
    <row r="23" spans="1:6">
      <c r="A23" s="123" t="s">
        <v>272</v>
      </c>
      <c r="B23" s="138">
        <v>0.3</v>
      </c>
    </row>
    <row r="24" spans="1:6">
      <c r="A24" s="123" t="s">
        <v>273</v>
      </c>
      <c r="B24" s="139">
        <v>0.85</v>
      </c>
    </row>
    <row r="25" spans="1:6">
      <c r="A25" s="123" t="s">
        <v>274</v>
      </c>
      <c r="B25" s="139">
        <v>0.85</v>
      </c>
    </row>
    <row r="26" spans="1:6">
      <c r="A26" s="140" t="s">
        <v>275</v>
      </c>
      <c r="B26" s="139">
        <v>0.95</v>
      </c>
    </row>
    <row r="27" spans="1:6">
      <c r="A27" s="140"/>
      <c r="B27" s="139"/>
    </row>
    <row r="28" spans="1:6">
      <c r="A28" s="123" t="s">
        <v>276</v>
      </c>
      <c r="B28" s="141"/>
    </row>
    <row r="29" spans="1:6">
      <c r="A29" s="123" t="s">
        <v>277</v>
      </c>
      <c r="B29" s="142">
        <v>0.05</v>
      </c>
    </row>
    <row r="30" spans="1:6">
      <c r="A30" s="123" t="s">
        <v>278</v>
      </c>
      <c r="B30" s="143">
        <v>0.02</v>
      </c>
    </row>
    <row r="31" spans="1:6">
      <c r="A31" s="123" t="s">
        <v>279</v>
      </c>
      <c r="B31" s="137">
        <v>0.03</v>
      </c>
    </row>
    <row r="32" spans="1:6">
      <c r="A32" s="123" t="s">
        <v>280</v>
      </c>
      <c r="B32" s="143">
        <v>0.04</v>
      </c>
    </row>
    <row r="33" spans="1:5">
      <c r="A33" s="123" t="s">
        <v>281</v>
      </c>
      <c r="B33" s="138">
        <v>0.3</v>
      </c>
    </row>
    <row r="34" spans="1:5">
      <c r="A34" s="144" t="s">
        <v>282</v>
      </c>
      <c r="B34" s="145">
        <v>0</v>
      </c>
      <c r="C34" s="144" t="s">
        <v>283</v>
      </c>
      <c r="D34" s="144"/>
      <c r="E34" s="146">
        <v>0</v>
      </c>
    </row>
    <row r="35" spans="1:5">
      <c r="A35" s="144" t="s">
        <v>284</v>
      </c>
      <c r="B35" s="147">
        <v>20</v>
      </c>
      <c r="C35" s="144" t="s">
        <v>284</v>
      </c>
      <c r="D35" s="144"/>
      <c r="E35" s="146">
        <v>0</v>
      </c>
    </row>
    <row r="36" spans="1:5">
      <c r="A36" s="144" t="s">
        <v>285</v>
      </c>
      <c r="B36" s="147">
        <v>10</v>
      </c>
      <c r="C36" s="144" t="s">
        <v>286</v>
      </c>
      <c r="D36" s="144"/>
      <c r="E36" s="146">
        <v>0</v>
      </c>
    </row>
    <row r="37" spans="1:5">
      <c r="A37" s="144" t="s">
        <v>287</v>
      </c>
      <c r="B37" s="147">
        <v>8</v>
      </c>
      <c r="C37" s="144" t="s">
        <v>287</v>
      </c>
      <c r="D37" s="144"/>
      <c r="E37" s="146">
        <v>0</v>
      </c>
    </row>
    <row r="38" spans="1:5">
      <c r="A38" s="148" t="s">
        <v>288</v>
      </c>
      <c r="B38" s="147">
        <v>13</v>
      </c>
    </row>
    <row r="39" spans="1:5">
      <c r="A39" s="149"/>
      <c r="B39" s="150"/>
    </row>
    <row r="40" spans="1:5">
      <c r="A40" s="151"/>
      <c r="B40" s="152"/>
    </row>
    <row r="41" spans="1:5">
      <c r="A41" s="151"/>
      <c r="B41" s="152"/>
    </row>
    <row r="42" spans="1:5">
      <c r="A42" s="123" t="s">
        <v>289</v>
      </c>
    </row>
    <row r="43" spans="1:5">
      <c r="A43" s="153" t="s">
        <v>290</v>
      </c>
      <c r="B43" s="154">
        <v>1.25</v>
      </c>
      <c r="C43" s="123" t="s">
        <v>291</v>
      </c>
      <c r="E43" s="155"/>
    </row>
    <row r="44" spans="1:5">
      <c r="A44" s="153" t="s">
        <v>292</v>
      </c>
      <c r="B44" s="154">
        <v>0.6</v>
      </c>
      <c r="C44" s="123" t="s">
        <v>291</v>
      </c>
      <c r="E44" s="155"/>
    </row>
    <row r="45" spans="1:5">
      <c r="A45" s="151" t="s">
        <v>293</v>
      </c>
      <c r="B45" s="154"/>
      <c r="E45" s="155"/>
    </row>
    <row r="46" spans="1:5">
      <c r="A46" s="153" t="s">
        <v>294</v>
      </c>
      <c r="B46" s="155">
        <v>4</v>
      </c>
      <c r="C46" s="123" t="s">
        <v>295</v>
      </c>
      <c r="E46" s="155"/>
    </row>
    <row r="47" spans="1:5">
      <c r="A47" s="156" t="s">
        <v>296</v>
      </c>
      <c r="B47" s="157">
        <v>2</v>
      </c>
      <c r="C47" s="123" t="s">
        <v>295</v>
      </c>
      <c r="E47" s="157"/>
    </row>
    <row r="48" spans="1:5">
      <c r="A48" s="156" t="s">
        <v>297</v>
      </c>
      <c r="B48" s="155">
        <v>0.2</v>
      </c>
      <c r="C48" s="123" t="s">
        <v>295</v>
      </c>
      <c r="E48" s="157"/>
    </row>
    <row r="49" spans="1:7">
      <c r="A49" s="156" t="s">
        <v>298</v>
      </c>
      <c r="B49" s="155">
        <v>2</v>
      </c>
      <c r="C49" s="123" t="s">
        <v>295</v>
      </c>
      <c r="E49" s="157"/>
    </row>
    <row r="50" spans="1:7">
      <c r="A50" s="156" t="s">
        <v>299</v>
      </c>
      <c r="B50" s="157">
        <v>2.25</v>
      </c>
      <c r="C50" s="123" t="s">
        <v>295</v>
      </c>
      <c r="E50" s="157"/>
    </row>
    <row r="51" spans="1:7">
      <c r="A51" s="158" t="s">
        <v>300</v>
      </c>
      <c r="B51" s="152">
        <v>73</v>
      </c>
      <c r="C51" s="123" t="s">
        <v>295</v>
      </c>
      <c r="E51" s="155"/>
    </row>
    <row r="52" spans="1:7">
      <c r="A52" s="151" t="s">
        <v>301</v>
      </c>
      <c r="B52" s="138">
        <v>0.2</v>
      </c>
    </row>
    <row r="53" spans="1:7">
      <c r="A53" s="140" t="s">
        <v>302</v>
      </c>
      <c r="B53" s="152">
        <v>100</v>
      </c>
      <c r="C53" s="140" t="s">
        <v>303</v>
      </c>
      <c r="D53" s="140"/>
    </row>
    <row r="54" spans="1:7">
      <c r="A54" s="140" t="s">
        <v>304</v>
      </c>
      <c r="B54" s="152">
        <v>90</v>
      </c>
      <c r="C54" s="140" t="s">
        <v>303</v>
      </c>
      <c r="D54" s="140"/>
    </row>
    <row r="55" spans="1:7">
      <c r="A55" s="140" t="s">
        <v>305</v>
      </c>
      <c r="B55" s="152">
        <v>2500</v>
      </c>
      <c r="C55" s="140"/>
      <c r="D55" s="140"/>
    </row>
    <row r="56" spans="1:7">
      <c r="B56" s="152"/>
      <c r="C56" s="140"/>
      <c r="D56" s="140"/>
    </row>
    <row r="57" spans="1:7">
      <c r="A57" s="140" t="s">
        <v>306</v>
      </c>
      <c r="B57" s="140"/>
      <c r="E57" s="140"/>
    </row>
    <row r="58" spans="1:7">
      <c r="A58" s="140" t="s">
        <v>307</v>
      </c>
      <c r="B58" s="140"/>
    </row>
    <row r="59" spans="1:7">
      <c r="A59" s="140" t="s">
        <v>308</v>
      </c>
      <c r="B59" s="140">
        <v>75</v>
      </c>
      <c r="C59" s="123" t="s">
        <v>309</v>
      </c>
      <c r="D59" s="123">
        <f>One_Way_Trip_Long_Haul_to_MRF/50*21.5</f>
        <v>32.25</v>
      </c>
    </row>
    <row r="60" spans="1:7">
      <c r="A60" s="159" t="s">
        <v>310</v>
      </c>
      <c r="B60" s="160">
        <v>-7.4999999999999997E-2</v>
      </c>
      <c r="D60" s="155">
        <f>-0.77/D75</f>
        <v>-0.15009746589026041</v>
      </c>
      <c r="E60" s="123" t="s">
        <v>590</v>
      </c>
      <c r="G60" s="155">
        <f>LH_Cost_per_Ton_per_Mile/D76</f>
        <v>-0.29444444444444451</v>
      </c>
    </row>
    <row r="61" spans="1:7">
      <c r="A61" s="140" t="s">
        <v>311</v>
      </c>
      <c r="B61" s="140"/>
    </row>
    <row r="62" spans="1:7">
      <c r="A62" s="140" t="s">
        <v>312</v>
      </c>
      <c r="B62" s="140"/>
      <c r="E62" s="140"/>
    </row>
    <row r="63" spans="1:7">
      <c r="A63" s="140" t="s">
        <v>313</v>
      </c>
      <c r="B63" s="140">
        <v>2</v>
      </c>
      <c r="E63" s="140" t="s">
        <v>314</v>
      </c>
    </row>
    <row r="64" spans="1:7">
      <c r="A64" s="140" t="s">
        <v>315</v>
      </c>
      <c r="B64" s="140">
        <f>140</f>
        <v>140</v>
      </c>
      <c r="C64" s="161">
        <f>B64*$B$5</f>
        <v>107.0376801172</v>
      </c>
      <c r="D64" s="161"/>
      <c r="E64" s="123" t="s">
        <v>316</v>
      </c>
    </row>
    <row r="65" spans="1:6">
      <c r="A65" s="140" t="s">
        <v>317</v>
      </c>
      <c r="B65" s="140">
        <v>200</v>
      </c>
      <c r="C65" s="130">
        <f>B65/$B$6/$B$9</f>
        <v>69.359250006358423</v>
      </c>
      <c r="D65" s="130"/>
      <c r="E65" s="123" t="s">
        <v>318</v>
      </c>
    </row>
    <row r="66" spans="1:6">
      <c r="A66" s="140" t="s">
        <v>275</v>
      </c>
      <c r="B66" s="139">
        <f>Capacity_Utilization</f>
        <v>0.95</v>
      </c>
      <c r="E66" s="140"/>
    </row>
    <row r="67" spans="1:6">
      <c r="A67" s="140" t="s">
        <v>319</v>
      </c>
      <c r="B67" s="162">
        <f>(B65*B63*B64)/lbs_per_metric_ton*B26</f>
        <v>24.131114083999996</v>
      </c>
      <c r="C67" s="140" t="s">
        <v>320</v>
      </c>
      <c r="D67" s="140"/>
      <c r="E67" s="140" t="s">
        <v>321</v>
      </c>
    </row>
    <row r="68" spans="1:6">
      <c r="A68" s="140"/>
      <c r="B68" s="162"/>
      <c r="C68" s="140"/>
      <c r="D68" s="140"/>
      <c r="E68" s="140"/>
    </row>
    <row r="69" spans="1:6">
      <c r="A69" s="140" t="s">
        <v>322</v>
      </c>
      <c r="B69" s="162"/>
      <c r="C69" s="140"/>
      <c r="D69" s="140"/>
      <c r="E69" s="140"/>
    </row>
    <row r="70" spans="1:6">
      <c r="A70" s="123" t="s">
        <v>323</v>
      </c>
    </row>
    <row r="71" spans="1:6">
      <c r="A71" s="140" t="s">
        <v>313</v>
      </c>
      <c r="B71" s="140">
        <v>2</v>
      </c>
      <c r="D71" s="140">
        <v>2</v>
      </c>
      <c r="E71" s="140" t="s">
        <v>314</v>
      </c>
    </row>
    <row r="72" spans="1:6">
      <c r="A72" s="140" t="s">
        <v>315</v>
      </c>
      <c r="B72" s="140">
        <f>53*2</f>
        <v>106</v>
      </c>
      <c r="C72" s="161">
        <f>53*$B$5</f>
        <v>40.521407472939998</v>
      </c>
      <c r="D72" s="140">
        <v>27</v>
      </c>
      <c r="E72" s="123" t="s">
        <v>316</v>
      </c>
      <c r="F72" s="140" t="s">
        <v>324</v>
      </c>
    </row>
    <row r="73" spans="1:6">
      <c r="A73" s="140" t="s">
        <v>317</v>
      </c>
      <c r="B73" s="140">
        <v>200</v>
      </c>
      <c r="C73" s="130">
        <f>B73/$B$6/$B$9</f>
        <v>69.359250006358423</v>
      </c>
      <c r="D73" s="140">
        <v>200</v>
      </c>
      <c r="E73" s="123" t="s">
        <v>318</v>
      </c>
    </row>
    <row r="74" spans="1:6">
      <c r="A74" s="140" t="s">
        <v>275</v>
      </c>
      <c r="B74" s="139">
        <v>0.95</v>
      </c>
      <c r="D74" s="139">
        <v>0.95</v>
      </c>
      <c r="E74" s="140"/>
    </row>
    <row r="75" spans="1:6">
      <c r="A75" s="140" t="s">
        <v>319</v>
      </c>
      <c r="B75" s="162">
        <f>(B73*B71*B72/lbs_per_metric_ton*B74)*B3</f>
        <v>20.139999999554416</v>
      </c>
      <c r="C75" s="140" t="s">
        <v>320</v>
      </c>
      <c r="D75" s="162">
        <f>(D73*D71*D72/lbs_per_metric_ton*D74)*B3</f>
        <v>5.1299999998865013</v>
      </c>
      <c r="E75" s="140" t="s">
        <v>325</v>
      </c>
    </row>
    <row r="76" spans="1:6">
      <c r="D76" s="137">
        <f>D75/Load_Limit_Rolloff</f>
        <v>0.25471698113207542</v>
      </c>
    </row>
    <row r="77" spans="1:6">
      <c r="A77" s="123" t="s">
        <v>326</v>
      </c>
      <c r="B77" s="163">
        <v>35000</v>
      </c>
      <c r="D77" s="123" t="s">
        <v>589</v>
      </c>
    </row>
    <row r="78" spans="1:6">
      <c r="A78" s="123" t="s">
        <v>327</v>
      </c>
      <c r="B78" s="163">
        <v>50000</v>
      </c>
    </row>
    <row r="79" spans="1:6">
      <c r="A79" s="123" t="s">
        <v>328</v>
      </c>
      <c r="B79" s="163">
        <v>85000</v>
      </c>
    </row>
    <row r="80" spans="1:6">
      <c r="A80" s="123" t="s">
        <v>329</v>
      </c>
      <c r="B80" s="163">
        <v>180000</v>
      </c>
    </row>
    <row r="81" spans="1:8">
      <c r="A81" s="123" t="s">
        <v>330</v>
      </c>
      <c r="B81" s="163">
        <v>110000</v>
      </c>
    </row>
    <row r="83" spans="1:8">
      <c r="A83" s="123" t="s">
        <v>331</v>
      </c>
      <c r="B83" s="164">
        <f>52*5</f>
        <v>260</v>
      </c>
    </row>
    <row r="88" spans="1:8">
      <c r="A88" s="165" t="s">
        <v>332</v>
      </c>
    </row>
    <row r="89" spans="1:8" ht="25.5">
      <c r="A89" s="166" t="s">
        <v>333</v>
      </c>
      <c r="B89" s="150" t="s">
        <v>334</v>
      </c>
      <c r="C89" s="150" t="s">
        <v>335</v>
      </c>
      <c r="D89" s="150" t="s">
        <v>435</v>
      </c>
      <c r="E89" s="167" t="s">
        <v>336</v>
      </c>
      <c r="F89" s="167" t="s">
        <v>337</v>
      </c>
      <c r="G89" s="167" t="s">
        <v>338</v>
      </c>
      <c r="H89" s="167" t="s">
        <v>339</v>
      </c>
    </row>
    <row r="90" spans="1:8">
      <c r="A90" s="168" t="s">
        <v>340</v>
      </c>
      <c r="B90" s="150"/>
      <c r="C90" s="150"/>
      <c r="D90" s="150"/>
      <c r="E90" s="169"/>
      <c r="F90" s="169"/>
      <c r="G90" s="169"/>
      <c r="H90" s="169"/>
    </row>
    <row r="91" spans="1:8">
      <c r="A91" s="170" t="s">
        <v>341</v>
      </c>
      <c r="B91" s="171">
        <v>0.68</v>
      </c>
      <c r="C91" s="171"/>
      <c r="D91" s="171"/>
      <c r="E91" s="172">
        <f t="shared" ref="E91:H94" si="3">E$98*$C91</f>
        <v>0</v>
      </c>
      <c r="F91" s="172">
        <f t="shared" si="3"/>
        <v>0</v>
      </c>
      <c r="G91" s="172">
        <f t="shared" si="3"/>
        <v>0</v>
      </c>
      <c r="H91" s="173">
        <f t="shared" si="3"/>
        <v>0</v>
      </c>
    </row>
    <row r="92" spans="1:8">
      <c r="A92" s="170" t="s">
        <v>342</v>
      </c>
      <c r="B92" s="171">
        <v>0.25</v>
      </c>
      <c r="C92" s="171"/>
      <c r="D92" s="171"/>
      <c r="E92" s="172">
        <f t="shared" si="3"/>
        <v>0</v>
      </c>
      <c r="F92" s="172">
        <f t="shared" si="3"/>
        <v>0</v>
      </c>
      <c r="G92" s="172">
        <f t="shared" si="3"/>
        <v>0</v>
      </c>
      <c r="H92" s="172">
        <f t="shared" si="3"/>
        <v>0</v>
      </c>
    </row>
    <row r="93" spans="1:8">
      <c r="A93" s="170" t="s">
        <v>343</v>
      </c>
      <c r="B93" s="171">
        <v>0</v>
      </c>
      <c r="C93" s="171"/>
      <c r="D93" s="171"/>
      <c r="E93" s="172">
        <f t="shared" si="3"/>
        <v>0</v>
      </c>
      <c r="F93" s="172">
        <f t="shared" si="3"/>
        <v>0</v>
      </c>
      <c r="G93" s="172">
        <f t="shared" si="3"/>
        <v>0</v>
      </c>
      <c r="H93" s="172">
        <f t="shared" si="3"/>
        <v>0</v>
      </c>
    </row>
    <row r="94" spans="1:8">
      <c r="A94" s="144" t="s">
        <v>344</v>
      </c>
      <c r="B94" s="171">
        <v>7.0000000000000007E-2</v>
      </c>
      <c r="C94" s="171"/>
      <c r="D94" s="171"/>
      <c r="E94" s="172">
        <f t="shared" si="3"/>
        <v>0</v>
      </c>
      <c r="F94" s="172">
        <f t="shared" si="3"/>
        <v>0</v>
      </c>
      <c r="G94" s="172">
        <f t="shared" si="3"/>
        <v>0</v>
      </c>
      <c r="H94" s="172">
        <f t="shared" si="3"/>
        <v>0</v>
      </c>
    </row>
    <row r="95" spans="1:8">
      <c r="A95" s="174" t="s">
        <v>345</v>
      </c>
      <c r="B95" s="175">
        <f>SUM(B91:B94)</f>
        <v>1</v>
      </c>
      <c r="C95" s="175">
        <f>Capacity_Utilization</f>
        <v>0.95</v>
      </c>
      <c r="D95" s="176">
        <v>3500</v>
      </c>
      <c r="E95" s="172">
        <v>2500</v>
      </c>
      <c r="F95" s="172">
        <v>10000</v>
      </c>
      <c r="G95" s="172">
        <v>52088</v>
      </c>
      <c r="H95" s="172">
        <f>G95</f>
        <v>52088</v>
      </c>
    </row>
    <row r="96" spans="1:8">
      <c r="A96" s="174" t="s">
        <v>594</v>
      </c>
      <c r="B96" s="175"/>
      <c r="C96" s="175"/>
      <c r="D96" s="176"/>
      <c r="E96" s="123">
        <v>5000</v>
      </c>
      <c r="F96" s="123">
        <v>20000</v>
      </c>
      <c r="G96" s="172"/>
      <c r="H96" s="172"/>
    </row>
    <row r="97" spans="1:8">
      <c r="A97" s="174" t="s">
        <v>346</v>
      </c>
      <c r="B97" s="175"/>
      <c r="C97" s="175"/>
      <c r="D97" s="175"/>
      <c r="E97" s="172">
        <f>E95/Load_Limit_Rolloff</f>
        <v>124.13108242578505</v>
      </c>
      <c r="F97" s="172">
        <f>F95/Load_Limit</f>
        <v>414.40274846781506</v>
      </c>
      <c r="G97" s="172">
        <f>G95/Load_Limit</f>
        <v>2158.5410362191551</v>
      </c>
      <c r="H97" s="172">
        <f>H95/Load_Limit</f>
        <v>2158.5410362191551</v>
      </c>
    </row>
    <row r="98" spans="1:8">
      <c r="A98" s="174" t="s">
        <v>347</v>
      </c>
      <c r="B98" s="177"/>
      <c r="C98" s="178"/>
      <c r="D98" s="178"/>
      <c r="E98" s="179">
        <f>ROUNDUP(E97/$B$83,1)</f>
        <v>0.5</v>
      </c>
      <c r="F98" s="179">
        <f>ROUNDUP(F97/$B$83,0)</f>
        <v>2</v>
      </c>
      <c r="G98" s="179">
        <f>ROUNDUP(G97/$B$83,0)</f>
        <v>9</v>
      </c>
      <c r="H98" s="179">
        <f>ROUNDUP(H97/$B$83,0)</f>
        <v>9</v>
      </c>
    </row>
    <row r="99" spans="1:8">
      <c r="A99" s="180"/>
      <c r="B99" s="181"/>
      <c r="C99" s="181"/>
      <c r="D99" s="181"/>
      <c r="E99" s="180"/>
      <c r="F99" s="180"/>
      <c r="G99" s="180"/>
      <c r="H99" s="180"/>
    </row>
    <row r="100" spans="1:8">
      <c r="A100" s="182" t="s">
        <v>348</v>
      </c>
      <c r="B100" s="183"/>
      <c r="C100" s="183"/>
      <c r="D100" s="183"/>
      <c r="E100" s="183"/>
      <c r="F100" s="183"/>
      <c r="G100" s="183"/>
      <c r="H100" s="183"/>
    </row>
    <row r="101" spans="1:8">
      <c r="A101" s="184" t="s">
        <v>286</v>
      </c>
      <c r="B101" s="185"/>
      <c r="C101" s="185"/>
      <c r="D101" s="185"/>
      <c r="E101" s="186"/>
      <c r="F101" s="186"/>
      <c r="G101" s="186"/>
      <c r="H101" s="186"/>
    </row>
    <row r="102" spans="1:8">
      <c r="A102" s="187" t="s">
        <v>349</v>
      </c>
      <c r="B102" s="188"/>
      <c r="C102" s="188"/>
      <c r="D102" s="189">
        <v>25000</v>
      </c>
      <c r="E102" s="189">
        <v>25000</v>
      </c>
      <c r="F102" s="189">
        <v>210000</v>
      </c>
      <c r="G102" s="189">
        <v>420000</v>
      </c>
      <c r="H102" s="189">
        <v>420000</v>
      </c>
    </row>
    <row r="103" spans="1:8">
      <c r="A103" s="187" t="s">
        <v>350</v>
      </c>
      <c r="B103" s="188"/>
      <c r="C103" s="188"/>
      <c r="D103" s="189"/>
      <c r="E103" s="189"/>
      <c r="F103" s="189"/>
      <c r="G103" s="189"/>
      <c r="H103" s="189"/>
    </row>
    <row r="104" spans="1:8">
      <c r="A104" s="153" t="s">
        <v>351</v>
      </c>
      <c r="B104" s="188"/>
      <c r="C104" s="188"/>
      <c r="D104" s="189"/>
      <c r="E104" s="189"/>
      <c r="F104" s="189"/>
      <c r="G104" s="189"/>
      <c r="H104" s="189"/>
    </row>
    <row r="105" spans="1:8">
      <c r="A105" s="153" t="s">
        <v>352</v>
      </c>
      <c r="B105" s="188"/>
      <c r="C105" s="188"/>
      <c r="D105" s="189"/>
      <c r="E105" s="189"/>
      <c r="F105" s="189"/>
      <c r="G105" s="189"/>
      <c r="H105" s="189"/>
    </row>
    <row r="106" spans="1:8">
      <c r="A106" s="144" t="s">
        <v>353</v>
      </c>
      <c r="B106" s="150"/>
      <c r="C106" s="171">
        <v>0</v>
      </c>
      <c r="D106" s="190">
        <f>SUM(D102:D105)*(1+Equipment_Sensitivity)</f>
        <v>25000</v>
      </c>
      <c r="E106" s="190">
        <f>SUM(E102:E105)*(1+Equipment_Sensitivity)</f>
        <v>25000</v>
      </c>
      <c r="F106" s="190">
        <f>SUM(F102:F105)*(1+Equipment_Sensitivity)</f>
        <v>210000</v>
      </c>
      <c r="G106" s="190">
        <f>SUM(G102:G105)*(1+Equipment_Sensitivity)</f>
        <v>420000</v>
      </c>
      <c r="H106" s="190">
        <f>SUM(H102:H105)*(1+Equipment_Sensitivity)</f>
        <v>420000</v>
      </c>
    </row>
    <row r="107" spans="1:8">
      <c r="A107" s="149" t="s">
        <v>287</v>
      </c>
      <c r="B107" s="150"/>
      <c r="C107" s="150"/>
      <c r="D107" s="190"/>
      <c r="E107" s="190"/>
      <c r="F107" s="190"/>
      <c r="G107" s="190"/>
      <c r="H107" s="190"/>
    </row>
    <row r="108" spans="1:8">
      <c r="A108" s="191" t="s">
        <v>354</v>
      </c>
      <c r="B108" s="150"/>
      <c r="C108" s="150"/>
      <c r="D108" s="192">
        <f>Skidsteer</f>
        <v>50000</v>
      </c>
      <c r="E108" s="192">
        <f>Skidsteer</f>
        <v>50000</v>
      </c>
      <c r="F108" s="192">
        <f>LLoader+Yard_Mule</f>
        <v>290000</v>
      </c>
      <c r="G108" s="192">
        <f>2*LLoader+Yard_Mule</f>
        <v>470000</v>
      </c>
      <c r="H108" s="192">
        <f>LLoader+Yard_Mule</f>
        <v>290000</v>
      </c>
    </row>
    <row r="109" spans="1:8">
      <c r="A109" s="191" t="s">
        <v>355</v>
      </c>
      <c r="B109" s="193">
        <v>0</v>
      </c>
      <c r="C109" s="193"/>
      <c r="D109" s="192">
        <f>D98*$C$109</f>
        <v>0</v>
      </c>
      <c r="E109" s="192">
        <f>E98*$C$109</f>
        <v>0</v>
      </c>
      <c r="F109" s="192">
        <f t="shared" ref="F109:H109" si="4">F98*$C$109</f>
        <v>0</v>
      </c>
      <c r="G109" s="192">
        <f t="shared" si="4"/>
        <v>0</v>
      </c>
      <c r="H109" s="192">
        <f t="shared" si="4"/>
        <v>0</v>
      </c>
    </row>
    <row r="110" spans="1:8">
      <c r="A110" s="144" t="s">
        <v>287</v>
      </c>
      <c r="B110" s="150"/>
      <c r="C110" s="171">
        <f>Rolling_Stock_Sensitivity</f>
        <v>0</v>
      </c>
      <c r="D110" s="190">
        <f>D108+D109*(1+Rolling_Stock_Sensitivity)</f>
        <v>50000</v>
      </c>
      <c r="E110" s="190">
        <f>E108+E109*(1+Rolling_Stock_Sensitivity)</f>
        <v>50000</v>
      </c>
      <c r="F110" s="190">
        <f>F108+F109*(1+Rolling_Stock_Sensitivity)</f>
        <v>290000</v>
      </c>
      <c r="G110" s="190">
        <f>G108+G109*(1+Rolling_Stock_Sensitivity)</f>
        <v>470000</v>
      </c>
      <c r="H110" s="190">
        <f>H108+H109*(1+Rolling_Stock_Sensitivity)</f>
        <v>290000</v>
      </c>
    </row>
    <row r="111" spans="1:8">
      <c r="A111" s="149" t="s">
        <v>356</v>
      </c>
      <c r="B111" s="176"/>
      <c r="C111" s="176"/>
      <c r="D111" s="190"/>
      <c r="E111" s="190"/>
      <c r="F111" s="190"/>
      <c r="G111" s="190"/>
      <c r="H111" s="190"/>
    </row>
    <row r="112" spans="1:8">
      <c r="A112" s="144" t="s">
        <v>357</v>
      </c>
      <c r="B112" s="150"/>
      <c r="C112" s="150"/>
      <c r="D112" s="194">
        <v>1</v>
      </c>
      <c r="E112" s="194">
        <v>2</v>
      </c>
      <c r="F112" s="194">
        <v>2</v>
      </c>
      <c r="G112" s="194">
        <v>2</v>
      </c>
      <c r="H112" s="194">
        <v>2</v>
      </c>
    </row>
    <row r="113" spans="1:8">
      <c r="A113" s="144" t="s">
        <v>358</v>
      </c>
      <c r="B113" s="176"/>
      <c r="C113" s="176"/>
      <c r="D113" s="195">
        <v>10000</v>
      </c>
      <c r="E113" s="195">
        <v>3000</v>
      </c>
      <c r="F113" s="195">
        <v>5500</v>
      </c>
      <c r="G113" s="195">
        <v>13000</v>
      </c>
      <c r="H113" s="195">
        <v>9678</v>
      </c>
    </row>
    <row r="114" spans="1:8">
      <c r="A114" s="187" t="s">
        <v>489</v>
      </c>
      <c r="B114" s="196">
        <v>125</v>
      </c>
      <c r="C114" s="197">
        <f>Building_Cost_Sensitivity</f>
        <v>0</v>
      </c>
      <c r="D114" s="198">
        <v>7</v>
      </c>
      <c r="E114" s="198">
        <v>100</v>
      </c>
      <c r="F114" s="198">
        <v>100</v>
      </c>
      <c r="G114" s="198">
        <v>100</v>
      </c>
      <c r="H114" s="198">
        <v>120</v>
      </c>
    </row>
    <row r="115" spans="1:8">
      <c r="A115" s="187" t="s">
        <v>449</v>
      </c>
      <c r="B115" s="185"/>
      <c r="C115" s="185"/>
      <c r="D115" s="198">
        <f>D113*D114</f>
        <v>70000</v>
      </c>
      <c r="E115" s="198">
        <f>E113*E114</f>
        <v>300000</v>
      </c>
      <c r="F115" s="198">
        <f>F113*F114</f>
        <v>550000</v>
      </c>
      <c r="G115" s="198">
        <f>G113*G114</f>
        <v>1300000</v>
      </c>
      <c r="H115" s="198">
        <f>H113*H114</f>
        <v>1161360</v>
      </c>
    </row>
    <row r="116" spans="1:8">
      <c r="A116" s="184" t="s">
        <v>360</v>
      </c>
      <c r="B116" s="188"/>
      <c r="C116" s="197">
        <f>Land_Cost_Sensitivity</f>
        <v>0</v>
      </c>
      <c r="D116" s="198">
        <f>Land_Cost_per_acre*D112*(1+Land_Cost_Sensitivity)</f>
        <v>0</v>
      </c>
      <c r="E116" s="198">
        <f>Land_Cost_per_acre*E112*(1+Land_Cost_Sensitivity)</f>
        <v>0</v>
      </c>
      <c r="F116" s="198">
        <f>Land_Cost_per_acre*F112*(1+Land_Cost_Sensitivity)</f>
        <v>0</v>
      </c>
      <c r="G116" s="198">
        <f>Land_Cost_per_acre*G112*(1+Land_Cost_Sensitivity)</f>
        <v>0</v>
      </c>
      <c r="H116" s="198">
        <f>Land_Cost_per_acre*H112*(1+Land_Cost_Sensitivity)</f>
        <v>0</v>
      </c>
    </row>
    <row r="117" spans="1:8">
      <c r="A117" s="174" t="s">
        <v>125</v>
      </c>
      <c r="B117" s="199"/>
      <c r="C117" s="199"/>
      <c r="D117" s="190">
        <f>SUM(D115:D116)</f>
        <v>70000</v>
      </c>
      <c r="E117" s="190">
        <f>SUM(E115:E116)</f>
        <v>300000</v>
      </c>
      <c r="F117" s="190">
        <f>SUM(F115:F116)</f>
        <v>550000</v>
      </c>
      <c r="G117" s="190">
        <f>SUM(G115:G116)</f>
        <v>1300000</v>
      </c>
      <c r="H117" s="190">
        <f>SUM(H115:H116)</f>
        <v>1161360</v>
      </c>
    </row>
    <row r="118" spans="1:8">
      <c r="A118" s="144"/>
      <c r="B118" s="199"/>
      <c r="C118" s="199"/>
      <c r="D118" s="190"/>
      <c r="E118" s="190"/>
      <c r="F118" s="190"/>
      <c r="G118" s="190"/>
      <c r="H118" s="190"/>
    </row>
    <row r="119" spans="1:8">
      <c r="A119" s="174" t="s">
        <v>361</v>
      </c>
      <c r="B119" s="150"/>
      <c r="C119" s="150"/>
      <c r="D119" s="200"/>
      <c r="E119" s="200"/>
      <c r="F119" s="200"/>
      <c r="G119" s="200"/>
      <c r="H119" s="200"/>
    </row>
    <row r="120" spans="1:8">
      <c r="A120" s="144" t="s">
        <v>284</v>
      </c>
      <c r="B120" s="147">
        <f>Building_Cost_Amortisation</f>
        <v>20</v>
      </c>
      <c r="C120" s="147"/>
      <c r="D120" s="201">
        <f>-PMT(Interest_Rate,Building_Cost_Amortisation,D115,,)</f>
        <v>5150.7225230040222</v>
      </c>
      <c r="E120" s="201">
        <f t="shared" ref="E120:H121" si="5">-PMT(Interest_Rate,Building_Cost_Amortisation,E115,,)</f>
        <v>22074.525098588667</v>
      </c>
      <c r="F120" s="201">
        <f t="shared" si="5"/>
        <v>40469.962680745892</v>
      </c>
      <c r="G120" s="201">
        <f t="shared" si="5"/>
        <v>95656.275427217566</v>
      </c>
      <c r="H120" s="201">
        <f t="shared" si="5"/>
        <v>85454.901561656443</v>
      </c>
    </row>
    <row r="121" spans="1:8">
      <c r="A121" s="144" t="s">
        <v>362</v>
      </c>
      <c r="B121" s="147">
        <f>Building_Cost_Amortisation</f>
        <v>20</v>
      </c>
      <c r="C121" s="147"/>
      <c r="D121" s="201">
        <f>-PMT(Interest_Rate,Building_Cost_Amortisation,D116,,)</f>
        <v>0</v>
      </c>
      <c r="E121" s="201">
        <f t="shared" si="5"/>
        <v>0</v>
      </c>
      <c r="F121" s="201">
        <f t="shared" si="5"/>
        <v>0</v>
      </c>
      <c r="G121" s="201">
        <f t="shared" si="5"/>
        <v>0</v>
      </c>
      <c r="H121" s="201">
        <f t="shared" si="5"/>
        <v>0</v>
      </c>
    </row>
    <row r="122" spans="1:8">
      <c r="A122" s="144" t="s">
        <v>285</v>
      </c>
      <c r="B122" s="147">
        <f>Equipment_Amortisation</f>
        <v>10</v>
      </c>
      <c r="C122" s="147"/>
      <c r="D122" s="201">
        <f>-PMT(Interest_Rate,Equipment_Amortisation,D106,,)</f>
        <v>3082.2736082534134</v>
      </c>
      <c r="E122" s="201">
        <f>-PMT(Interest_Rate,Equipment_Amortisation,E106,,)</f>
        <v>3082.2736082534134</v>
      </c>
      <c r="F122" s="201">
        <f>-PMT(Interest_Rate,Equipment_Amortisation,F106,,)</f>
        <v>25891.098309328667</v>
      </c>
      <c r="G122" s="201">
        <f>-PMT(Interest_Rate,Equipment_Amortisation,G106,,)</f>
        <v>51782.196618657334</v>
      </c>
      <c r="H122" s="201">
        <f>-PMT(Interest_Rate,Equipment_Amortisation,H106,,)</f>
        <v>51782.196618657334</v>
      </c>
    </row>
    <row r="123" spans="1:8">
      <c r="A123" s="144" t="s">
        <v>287</v>
      </c>
      <c r="B123" s="147">
        <f>Rolling_Stock_Amortisation</f>
        <v>8</v>
      </c>
      <c r="C123" s="147"/>
      <c r="D123" s="201">
        <f>-PMT(Interest_Rate,Rolling_Stock_Amortisation,D110,,)</f>
        <v>7426.3916023356469</v>
      </c>
      <c r="E123" s="201">
        <f>-PMT(Interest_Rate,Rolling_Stock_Amortisation,E110,,)</f>
        <v>7426.3916023356469</v>
      </c>
      <c r="F123" s="201">
        <f>-PMT(Interest_Rate,Rolling_Stock_Amortisation,F110,,)</f>
        <v>43073.071293546745</v>
      </c>
      <c r="G123" s="201">
        <f>-PMT(Interest_Rate,Rolling_Stock_Amortisation,G110,,)</f>
        <v>69808.081061955076</v>
      </c>
      <c r="H123" s="201">
        <f>-PMT(Interest_Rate,Rolling_Stock_Amortisation,H110,,)</f>
        <v>43073.071293546745</v>
      </c>
    </row>
    <row r="124" spans="1:8">
      <c r="A124" s="202" t="s">
        <v>363</v>
      </c>
      <c r="B124" s="203"/>
      <c r="C124" s="203"/>
      <c r="D124" s="204">
        <f>SUM(D120:D123)</f>
        <v>15659.387733593083</v>
      </c>
      <c r="E124" s="204">
        <f>SUM(E120:E123)</f>
        <v>32583.190309177728</v>
      </c>
      <c r="F124" s="204">
        <f>SUM(F120:F123)</f>
        <v>109434.13228362131</v>
      </c>
      <c r="G124" s="204">
        <f>SUM(G120:G123)</f>
        <v>217246.55310782997</v>
      </c>
      <c r="H124" s="204">
        <f>SUM(H120:H123)</f>
        <v>180310.16947386053</v>
      </c>
    </row>
    <row r="125" spans="1:8">
      <c r="A125" s="202"/>
      <c r="B125" s="203"/>
      <c r="C125" s="203"/>
      <c r="D125" s="204"/>
      <c r="E125" s="204"/>
      <c r="F125" s="204"/>
      <c r="G125" s="204"/>
      <c r="H125" s="204"/>
    </row>
    <row r="126" spans="1:8">
      <c r="A126" s="174" t="s">
        <v>364</v>
      </c>
      <c r="B126" s="150"/>
      <c r="C126" s="150"/>
      <c r="D126" s="172"/>
      <c r="E126" s="172"/>
      <c r="F126" s="172"/>
      <c r="G126" s="172"/>
      <c r="H126" s="172"/>
    </row>
    <row r="127" spans="1:8">
      <c r="A127" s="144" t="s">
        <v>365</v>
      </c>
      <c r="B127" s="150"/>
      <c r="C127" s="150"/>
      <c r="D127" s="205">
        <f>SUM(D129:D134)</f>
        <v>0.4</v>
      </c>
      <c r="E127" s="205">
        <f>SUM(E129:E134)</f>
        <v>0.4</v>
      </c>
      <c r="F127" s="150">
        <f>SUM(F129:F134)</f>
        <v>1.35</v>
      </c>
      <c r="G127" s="150">
        <f>SUM(G129:G134)</f>
        <v>4.5</v>
      </c>
      <c r="H127" s="150">
        <f>SUM(H129:H134)</f>
        <v>4.5</v>
      </c>
    </row>
    <row r="128" spans="1:8">
      <c r="A128" s="206" t="s">
        <v>366</v>
      </c>
      <c r="B128" s="150"/>
      <c r="C128" s="150"/>
      <c r="D128" s="150"/>
      <c r="E128" s="150"/>
      <c r="F128" s="150"/>
      <c r="G128" s="150"/>
      <c r="H128" s="150"/>
    </row>
    <row r="129" spans="1:8">
      <c r="A129" s="191" t="s">
        <v>265</v>
      </c>
      <c r="B129" s="207"/>
      <c r="C129" s="207"/>
      <c r="D129" s="205">
        <v>0</v>
      </c>
      <c r="E129" s="205">
        <v>0</v>
      </c>
      <c r="F129" s="205">
        <v>0</v>
      </c>
      <c r="G129" s="205">
        <v>0</v>
      </c>
      <c r="H129" s="205">
        <v>0</v>
      </c>
    </row>
    <row r="130" spans="1:8">
      <c r="A130" s="191" t="s">
        <v>367</v>
      </c>
      <c r="B130" s="208"/>
      <c r="C130" s="208"/>
      <c r="D130" s="209">
        <v>0</v>
      </c>
      <c r="E130" s="209">
        <v>0</v>
      </c>
      <c r="F130" s="209">
        <v>0</v>
      </c>
      <c r="G130" s="209">
        <v>1</v>
      </c>
      <c r="H130" s="209">
        <v>1</v>
      </c>
    </row>
    <row r="131" spans="1:8">
      <c r="A131" s="191" t="s">
        <v>267</v>
      </c>
      <c r="B131" s="208"/>
      <c r="C131" s="208"/>
      <c r="D131" s="209">
        <v>0.2</v>
      </c>
      <c r="E131" s="209">
        <v>0.2</v>
      </c>
      <c r="F131" s="209">
        <v>0.75</v>
      </c>
      <c r="G131" s="209">
        <v>2</v>
      </c>
      <c r="H131" s="209">
        <v>2</v>
      </c>
    </row>
    <row r="132" spans="1:8">
      <c r="A132" s="191" t="s">
        <v>268</v>
      </c>
      <c r="B132" s="208"/>
      <c r="C132" s="208"/>
      <c r="D132" s="209">
        <v>0</v>
      </c>
      <c r="E132" s="209">
        <v>0</v>
      </c>
      <c r="F132" s="209">
        <v>0.1</v>
      </c>
      <c r="G132" s="209">
        <v>0.5</v>
      </c>
      <c r="H132" s="209">
        <v>0.5</v>
      </c>
    </row>
    <row r="133" spans="1:8">
      <c r="A133" s="191" t="s">
        <v>368</v>
      </c>
      <c r="B133" s="208"/>
      <c r="C133" s="208"/>
      <c r="D133" s="209"/>
      <c r="E133" s="209"/>
      <c r="F133" s="209"/>
      <c r="G133" s="209">
        <v>0.5</v>
      </c>
      <c r="H133" s="209">
        <v>0.5</v>
      </c>
    </row>
    <row r="134" spans="1:8">
      <c r="A134" s="191" t="s">
        <v>369</v>
      </c>
      <c r="B134" s="208"/>
      <c r="C134" s="208"/>
      <c r="D134" s="209">
        <v>0.2</v>
      </c>
      <c r="E134" s="209">
        <v>0.2</v>
      </c>
      <c r="F134" s="209">
        <v>0.5</v>
      </c>
      <c r="G134" s="209">
        <v>0.5</v>
      </c>
      <c r="H134" s="209">
        <v>0.5</v>
      </c>
    </row>
    <row r="135" spans="1:8">
      <c r="A135" s="144" t="s">
        <v>370</v>
      </c>
      <c r="B135" s="210"/>
      <c r="C135" s="210"/>
      <c r="D135" s="211">
        <f>D129*SorterWages+D130*DriverWages+D131*EquipOperatorWages+D132*MaintenaeWages+D134*MgmtWages</f>
        <v>24065.599999999999</v>
      </c>
      <c r="E135" s="211">
        <f>E129*SorterWages+E130*DriverWages+E131*EquipOperatorWages+E132*MaintenaeWages+E134*MgmtWages</f>
        <v>24065.599999999999</v>
      </c>
      <c r="F135" s="211">
        <f>F129*SorterWages+F130*DriverWages+F131*EquipOperatorWages+F132*MaintenaeWages+F134*MgmtWages</f>
        <v>76726</v>
      </c>
      <c r="G135" s="211">
        <f>G129*SorterWages+G130*DriverWages+G131*EquipOperatorWages+G132*MaintenaeWages+G134*MgmtWages</f>
        <v>216996</v>
      </c>
      <c r="H135" s="211">
        <f>H129*SorterWages+H130*DriverWages+H131*EquipOperatorWages+H132*MaintenaeWages+H134*MgmtWages</f>
        <v>216996</v>
      </c>
    </row>
    <row r="136" spans="1:8">
      <c r="A136" s="144" t="s">
        <v>371</v>
      </c>
      <c r="B136" s="210"/>
      <c r="C136" s="210"/>
      <c r="D136" s="211">
        <v>0</v>
      </c>
      <c r="E136" s="211">
        <v>0</v>
      </c>
      <c r="F136" s="211">
        <v>0</v>
      </c>
      <c r="G136" s="211">
        <v>0</v>
      </c>
      <c r="H136" s="211">
        <v>0</v>
      </c>
    </row>
    <row r="137" spans="1:8">
      <c r="A137" s="144" t="s">
        <v>372</v>
      </c>
      <c r="B137" s="210"/>
      <c r="C137" s="210"/>
      <c r="D137" s="211">
        <f>D113*(Building_Utility+Building_Maintenance)</f>
        <v>18500</v>
      </c>
      <c r="E137" s="211">
        <f>E113*(Building_Utility+Building_Maintenance)</f>
        <v>5550</v>
      </c>
      <c r="F137" s="211">
        <f>F113*(Building_Utility+Building_Maintenance)</f>
        <v>10175</v>
      </c>
      <c r="G137" s="211">
        <f>G113*(Building_Utility+Building_Maintenance)</f>
        <v>24050</v>
      </c>
      <c r="H137" s="211">
        <f>H113*(Building_Utility+Building_Maintenance)</f>
        <v>17904.3</v>
      </c>
    </row>
    <row r="138" spans="1:8">
      <c r="A138" s="144" t="s">
        <v>373</v>
      </c>
      <c r="B138" s="210"/>
      <c r="C138" s="210"/>
      <c r="D138" s="211">
        <v>5000</v>
      </c>
      <c r="E138" s="211">
        <v>5000</v>
      </c>
      <c r="F138" s="211">
        <v>5000</v>
      </c>
      <c r="G138" s="211">
        <v>5000</v>
      </c>
      <c r="H138" s="211">
        <v>5000</v>
      </c>
    </row>
    <row r="139" spans="1:8">
      <c r="A139" s="144" t="s">
        <v>374</v>
      </c>
      <c r="B139" s="171">
        <f>Tax_Rate</f>
        <v>0.3</v>
      </c>
      <c r="C139" s="210"/>
      <c r="D139" s="211">
        <f>Tax_Rate*(D121+D120)</f>
        <v>1545.2167569012065</v>
      </c>
      <c r="E139" s="211">
        <f>Tax_Rate*(E121+E120)</f>
        <v>6622.3575295765995</v>
      </c>
      <c r="F139" s="211">
        <f>Tax_Rate*(F121+F120)</f>
        <v>12140.988804223767</v>
      </c>
      <c r="G139" s="211">
        <f>Tax_Rate*(G121+G120)</f>
        <v>28696.882628165269</v>
      </c>
      <c r="H139" s="211">
        <f>Tax_Rate*(H121+H120)</f>
        <v>25636.470468496933</v>
      </c>
    </row>
    <row r="140" spans="1:8">
      <c r="A140" s="144" t="s">
        <v>375</v>
      </c>
      <c r="B140" s="150"/>
      <c r="C140" s="150"/>
      <c r="D140" s="200">
        <f>D95*(Xfer_Fuel+Xfer_Maint)</f>
        <v>7700.0000000000009</v>
      </c>
      <c r="E140" s="200">
        <f>E95*(Xfer_Fuel+Xfer_Maint)</f>
        <v>5500</v>
      </c>
      <c r="F140" s="200">
        <f>F95*(Xfer_Fuel+Xfer_Maint)</f>
        <v>22000</v>
      </c>
      <c r="G140" s="200">
        <f>G95*(Xfer_Fuel+Xfer_Maint)</f>
        <v>114593.60000000001</v>
      </c>
      <c r="H140" s="200">
        <f>H95*(Xfer_Fuel+Xfer_Maint)</f>
        <v>114593.60000000001</v>
      </c>
    </row>
    <row r="141" spans="1:8">
      <c r="A141" s="168" t="s">
        <v>376</v>
      </c>
      <c r="B141" s="199"/>
      <c r="C141" s="199"/>
      <c r="D141" s="204">
        <f>SUM(D135:D140)+D124</f>
        <v>72470.204490494289</v>
      </c>
      <c r="E141" s="204">
        <f>SUM(E135:E140)+E124</f>
        <v>79321.147838754317</v>
      </c>
      <c r="F141" s="204">
        <f>SUM(F135:F140)+F124</f>
        <v>235476.12108784507</v>
      </c>
      <c r="G141" s="204">
        <f>SUM(G135:G140)+G124</f>
        <v>606583.03573599528</v>
      </c>
      <c r="H141" s="204">
        <f>SUM(H135:H140)+H124</f>
        <v>560440.53994235746</v>
      </c>
    </row>
    <row r="142" spans="1:8" ht="25.5">
      <c r="A142" s="212" t="s">
        <v>377</v>
      </c>
      <c r="B142" s="150"/>
      <c r="C142" s="150"/>
      <c r="D142" s="201">
        <f>D141*Management_Allowance</f>
        <v>14494.040898098858</v>
      </c>
      <c r="E142" s="201">
        <f>E141*Management_Allowance</f>
        <v>15864.229567750865</v>
      </c>
      <c r="F142" s="201">
        <f>F141*Management_Allowance</f>
        <v>47095.224217569019</v>
      </c>
      <c r="G142" s="201">
        <f>G141*Management_Allowance</f>
        <v>121316.60714719906</v>
      </c>
      <c r="H142" s="201">
        <f>H141*Management_Allowance</f>
        <v>112088.1079884715</v>
      </c>
    </row>
    <row r="143" spans="1:8">
      <c r="A143" s="168" t="s">
        <v>378</v>
      </c>
      <c r="B143" s="199"/>
      <c r="C143" s="199"/>
      <c r="D143" s="204">
        <f>SUM(D141:D142)</f>
        <v>86964.245388593146</v>
      </c>
      <c r="E143" s="204">
        <f>SUM(E141:E142)</f>
        <v>95185.377406505184</v>
      </c>
      <c r="F143" s="204">
        <f>SUM(F141:F142)</f>
        <v>282571.34530541406</v>
      </c>
      <c r="G143" s="204">
        <f>SUM(G141:G142)</f>
        <v>727899.64288319438</v>
      </c>
      <c r="H143" s="204">
        <f>SUM(H141:H142)</f>
        <v>672528.64793082897</v>
      </c>
    </row>
    <row r="144" spans="1:8">
      <c r="A144" s="174" t="s">
        <v>379</v>
      </c>
      <c r="B144" s="199"/>
      <c r="C144" s="199"/>
      <c r="D144" s="213">
        <f>D143/D95</f>
        <v>24.846927253883756</v>
      </c>
      <c r="E144" s="213">
        <f>E143/E95</f>
        <v>38.074150962602076</v>
      </c>
      <c r="F144" s="213">
        <f>F143/F95</f>
        <v>28.257134530541407</v>
      </c>
      <c r="G144" s="213">
        <f>G143/G95</f>
        <v>13.974421035232576</v>
      </c>
      <c r="H144" s="213">
        <f>H143/H95</f>
        <v>12.911393179443039</v>
      </c>
    </row>
    <row r="145" spans="1:8">
      <c r="A145" s="174"/>
      <c r="B145" s="199"/>
      <c r="C145" s="199"/>
      <c r="D145" s="199"/>
      <c r="E145" s="213"/>
      <c r="F145" s="213"/>
      <c r="G145" s="213"/>
      <c r="H145" s="213"/>
    </row>
    <row r="146" spans="1:8">
      <c r="A146" s="174"/>
      <c r="B146" s="199"/>
      <c r="C146" s="199"/>
      <c r="D146" s="199"/>
      <c r="E146" s="213"/>
      <c r="F146" s="213"/>
      <c r="G146" s="213"/>
      <c r="H146" s="213"/>
    </row>
    <row r="147" spans="1:8">
      <c r="A147" s="165" t="s">
        <v>380</v>
      </c>
    </row>
    <row r="148" spans="1:8">
      <c r="A148" s="123" t="s">
        <v>381</v>
      </c>
      <c r="G148" s="214">
        <v>1</v>
      </c>
    </row>
    <row r="149" spans="1:8">
      <c r="A149" s="215"/>
      <c r="B149" s="216" t="s">
        <v>382</v>
      </c>
      <c r="C149" s="216" t="s">
        <v>383</v>
      </c>
      <c r="D149" s="216"/>
      <c r="E149" s="215" t="s">
        <v>384</v>
      </c>
      <c r="F149" s="215" t="s">
        <v>385</v>
      </c>
      <c r="G149" s="123" t="s">
        <v>381</v>
      </c>
      <c r="H149" s="215" t="s">
        <v>386</v>
      </c>
    </row>
    <row r="150" spans="1:8">
      <c r="A150" s="215" t="s">
        <v>387</v>
      </c>
      <c r="B150" s="216">
        <v>1</v>
      </c>
      <c r="C150" s="217">
        <v>10500</v>
      </c>
      <c r="D150" s="217">
        <f>C150-'Results - Hub and Spoke'!$C$6</f>
        <v>10500</v>
      </c>
      <c r="E150" s="218">
        <v>180</v>
      </c>
      <c r="F150" s="219">
        <f t="shared" ref="F150:F161" si="6">ACR</f>
        <v>85</v>
      </c>
      <c r="G150" s="163">
        <f>F150*Revenue_Share*1.2</f>
        <v>102</v>
      </c>
      <c r="H150" s="220">
        <f>G150-E150</f>
        <v>-78</v>
      </c>
    </row>
    <row r="151" spans="1:8">
      <c r="A151" s="215" t="s">
        <v>388</v>
      </c>
      <c r="B151" s="216">
        <v>2</v>
      </c>
      <c r="C151" s="217">
        <f>C150*2</f>
        <v>21000</v>
      </c>
      <c r="D151" s="217">
        <f>C151-'Results - Hub and Spoke'!$C$6</f>
        <v>21000</v>
      </c>
      <c r="E151" s="218">
        <v>140</v>
      </c>
      <c r="F151" s="219">
        <f t="shared" si="6"/>
        <v>85</v>
      </c>
      <c r="G151" s="163">
        <f>F151*Revenue_Share*1.2</f>
        <v>102</v>
      </c>
      <c r="H151" s="220">
        <f t="shared" ref="H151:H161" si="7">G151-E151</f>
        <v>-38</v>
      </c>
    </row>
    <row r="152" spans="1:8">
      <c r="A152" s="215" t="s">
        <v>389</v>
      </c>
      <c r="B152" s="216">
        <v>3</v>
      </c>
      <c r="C152" s="217">
        <v>22500</v>
      </c>
      <c r="D152" s="217">
        <f>C152-'Results - Hub and Spoke'!$C$6</f>
        <v>22500</v>
      </c>
      <c r="E152" s="218">
        <v>146</v>
      </c>
      <c r="F152" s="219">
        <f t="shared" si="6"/>
        <v>85</v>
      </c>
      <c r="G152" s="163">
        <f>F152*Revenue_Share*1.2</f>
        <v>102</v>
      </c>
      <c r="H152" s="220">
        <f t="shared" si="7"/>
        <v>-44</v>
      </c>
    </row>
    <row r="153" spans="1:8">
      <c r="A153" s="215" t="s">
        <v>390</v>
      </c>
      <c r="B153" s="216">
        <v>4</v>
      </c>
      <c r="C153" s="217">
        <f>C152*2</f>
        <v>45000</v>
      </c>
      <c r="D153" s="217">
        <f>C153-'Results - Hub and Spoke'!$C$6</f>
        <v>45000</v>
      </c>
      <c r="E153" s="218">
        <v>116</v>
      </c>
      <c r="F153" s="219">
        <f t="shared" si="6"/>
        <v>85</v>
      </c>
      <c r="G153" s="163">
        <f>F153*Revenue_Share*1.2</f>
        <v>102</v>
      </c>
      <c r="H153" s="220">
        <f t="shared" si="7"/>
        <v>-14</v>
      </c>
    </row>
    <row r="154" spans="1:8">
      <c r="A154" s="215" t="s">
        <v>391</v>
      </c>
      <c r="B154" s="216">
        <v>5</v>
      </c>
      <c r="C154" s="217">
        <v>22500</v>
      </c>
      <c r="D154" s="217">
        <f>C154-'Results - Hub and Spoke'!$C$6</f>
        <v>22500</v>
      </c>
      <c r="E154" s="218">
        <v>139</v>
      </c>
      <c r="F154" s="219">
        <f t="shared" si="6"/>
        <v>85</v>
      </c>
      <c r="G154" s="163">
        <f t="shared" ref="G154:G161" si="8">F154*Revenue_Share</f>
        <v>85</v>
      </c>
      <c r="H154" s="220">
        <f t="shared" si="7"/>
        <v>-54</v>
      </c>
    </row>
    <row r="155" spans="1:8">
      <c r="A155" s="215" t="s">
        <v>392</v>
      </c>
      <c r="B155" s="216">
        <v>6</v>
      </c>
      <c r="C155" s="217">
        <f>C154*2</f>
        <v>45000</v>
      </c>
      <c r="D155" s="217">
        <f>C155-'Results - Hub and Spoke'!$C$6</f>
        <v>45000</v>
      </c>
      <c r="E155" s="218">
        <v>107</v>
      </c>
      <c r="F155" s="219">
        <f t="shared" si="6"/>
        <v>85</v>
      </c>
      <c r="G155" s="163">
        <f t="shared" si="8"/>
        <v>85</v>
      </c>
      <c r="H155" s="220">
        <f t="shared" si="7"/>
        <v>-22</v>
      </c>
    </row>
    <row r="156" spans="1:8">
      <c r="A156" s="215" t="s">
        <v>393</v>
      </c>
      <c r="B156" s="216">
        <v>7</v>
      </c>
      <c r="C156" s="217">
        <v>32500</v>
      </c>
      <c r="D156" s="217">
        <f>C156-'Results - Hub and Spoke'!$C$6</f>
        <v>32500</v>
      </c>
      <c r="E156" s="218">
        <v>126</v>
      </c>
      <c r="F156" s="219">
        <f t="shared" si="6"/>
        <v>85</v>
      </c>
      <c r="G156" s="163">
        <f t="shared" si="8"/>
        <v>85</v>
      </c>
      <c r="H156" s="220">
        <f t="shared" si="7"/>
        <v>-41</v>
      </c>
    </row>
    <row r="157" spans="1:8">
      <c r="A157" s="215" t="s">
        <v>394</v>
      </c>
      <c r="B157" s="216">
        <v>8</v>
      </c>
      <c r="C157" s="217">
        <f>C156*2</f>
        <v>65000</v>
      </c>
      <c r="D157" s="217">
        <f>C157-'Results - Hub and Spoke'!$C$6</f>
        <v>65000</v>
      </c>
      <c r="E157" s="218">
        <v>95</v>
      </c>
      <c r="F157" s="219">
        <f t="shared" si="6"/>
        <v>85</v>
      </c>
      <c r="G157" s="163">
        <f t="shared" si="8"/>
        <v>85</v>
      </c>
      <c r="H157" s="220">
        <f t="shared" si="7"/>
        <v>-10</v>
      </c>
    </row>
    <row r="158" spans="1:8">
      <c r="A158" s="215" t="s">
        <v>395</v>
      </c>
      <c r="B158" s="216">
        <v>9</v>
      </c>
      <c r="C158" s="217">
        <v>52000</v>
      </c>
      <c r="D158" s="217">
        <f>C158-'Results - Hub and Spoke'!$C$6</f>
        <v>52000</v>
      </c>
      <c r="E158" s="218">
        <v>103</v>
      </c>
      <c r="F158" s="219">
        <f t="shared" si="6"/>
        <v>85</v>
      </c>
      <c r="G158" s="163">
        <f t="shared" si="8"/>
        <v>85</v>
      </c>
      <c r="H158" s="220">
        <f t="shared" si="7"/>
        <v>-18</v>
      </c>
    </row>
    <row r="159" spans="1:8">
      <c r="A159" s="215" t="s">
        <v>396</v>
      </c>
      <c r="B159" s="216">
        <v>10</v>
      </c>
      <c r="C159" s="217">
        <f>C158*2</f>
        <v>104000</v>
      </c>
      <c r="D159" s="217">
        <f>C159-'Results - Hub and Spoke'!$C$6</f>
        <v>104000</v>
      </c>
      <c r="E159" s="218">
        <v>78</v>
      </c>
      <c r="F159" s="219">
        <f t="shared" si="6"/>
        <v>85</v>
      </c>
      <c r="G159" s="163">
        <f t="shared" si="8"/>
        <v>85</v>
      </c>
      <c r="H159" s="220">
        <f t="shared" si="7"/>
        <v>7</v>
      </c>
    </row>
    <row r="160" spans="1:8">
      <c r="A160" s="215" t="s">
        <v>397</v>
      </c>
      <c r="B160" s="216">
        <v>11</v>
      </c>
      <c r="C160" s="217">
        <v>104000</v>
      </c>
      <c r="D160" s="217">
        <f>C160-'Results - Hub and Spoke'!$C$6</f>
        <v>104000</v>
      </c>
      <c r="E160" s="218">
        <v>94</v>
      </c>
      <c r="F160" s="219">
        <f t="shared" si="6"/>
        <v>85</v>
      </c>
      <c r="G160" s="163">
        <f t="shared" si="8"/>
        <v>85</v>
      </c>
      <c r="H160" s="220">
        <f t="shared" si="7"/>
        <v>-9</v>
      </c>
    </row>
    <row r="161" spans="1:8">
      <c r="A161" s="215" t="s">
        <v>398</v>
      </c>
      <c r="B161" s="216">
        <v>12</v>
      </c>
      <c r="C161" s="217">
        <f>C160*2</f>
        <v>208000</v>
      </c>
      <c r="D161" s="217">
        <f>C161-'Results - Hub and Spoke'!$C$6</f>
        <v>208000</v>
      </c>
      <c r="E161" s="218">
        <v>71</v>
      </c>
      <c r="F161" s="219">
        <f t="shared" si="6"/>
        <v>85</v>
      </c>
      <c r="G161" s="163">
        <f t="shared" si="8"/>
        <v>85</v>
      </c>
      <c r="H161" s="220">
        <f t="shared" si="7"/>
        <v>14</v>
      </c>
    </row>
    <row r="163" spans="1:8">
      <c r="A163" s="123" t="s">
        <v>399</v>
      </c>
      <c r="C163" s="468">
        <f>AVERAGE(C150:C151)</f>
        <v>15750</v>
      </c>
      <c r="E163" s="221">
        <f>-AVERAGE(E150:E151)</f>
        <v>-160</v>
      </c>
      <c r="H163" s="221">
        <f>AVERAGE(H150:H151)</f>
        <v>-58</v>
      </c>
    </row>
    <row r="164" spans="1:8">
      <c r="A164" s="123" t="s">
        <v>400</v>
      </c>
      <c r="C164" s="468">
        <f>AVERAGE(C152:C153)</f>
        <v>33750</v>
      </c>
      <c r="E164" s="221">
        <f>-AVERAGE(E152:E153)</f>
        <v>-131</v>
      </c>
      <c r="H164" s="221">
        <f>AVERAGE(H152:H153)</f>
        <v>-29</v>
      </c>
    </row>
    <row r="165" spans="1:8">
      <c r="A165" s="123" t="s">
        <v>401</v>
      </c>
      <c r="C165" s="468">
        <f>AVERAGE(C154:C155)</f>
        <v>33750</v>
      </c>
      <c r="E165" s="221">
        <f>-AVERAGE(E154:E155)</f>
        <v>-123</v>
      </c>
      <c r="H165" s="221">
        <f>AVERAGE(H154:H155)</f>
        <v>-38</v>
      </c>
    </row>
    <row r="166" spans="1:8">
      <c r="A166" s="123" t="s">
        <v>402</v>
      </c>
      <c r="C166" s="468">
        <f>AVERAGE(C156:C157)</f>
        <v>48750</v>
      </c>
      <c r="E166" s="221">
        <f>-AVERAGE(E156:E157)</f>
        <v>-110.5</v>
      </c>
      <c r="H166" s="221">
        <f>AVERAGE(H156:H157)</f>
        <v>-25.5</v>
      </c>
    </row>
    <row r="167" spans="1:8">
      <c r="A167" s="123" t="s">
        <v>403</v>
      </c>
      <c r="C167" s="468">
        <f>AVERAGE(C158:C159)</f>
        <v>78000</v>
      </c>
      <c r="E167" s="221">
        <f>-AVERAGE(E158:E159)</f>
        <v>-90.5</v>
      </c>
      <c r="H167" s="221">
        <f>AVERAGE(H158:H159)</f>
        <v>-5.5</v>
      </c>
    </row>
    <row r="168" spans="1:8">
      <c r="A168" s="123" t="s">
        <v>404</v>
      </c>
      <c r="C168" s="468">
        <f>AVERAGE(C160:C161)</f>
        <v>156000</v>
      </c>
      <c r="E168" s="221">
        <f>-AVERAGE(E160:E161)</f>
        <v>-82.5</v>
      </c>
      <c r="H168" s="221">
        <f>AVERAGE(H160:H161)</f>
        <v>2.5</v>
      </c>
    </row>
    <row r="171" spans="1:8" ht="30">
      <c r="A171" s="463"/>
      <c r="B171" s="463" t="s">
        <v>595</v>
      </c>
      <c r="C171" s="467" t="s">
        <v>597</v>
      </c>
      <c r="D171" s="467" t="s">
        <v>596</v>
      </c>
    </row>
    <row r="172" spans="1:8" ht="15">
      <c r="A172" s="464" t="s">
        <v>387</v>
      </c>
      <c r="B172" s="465">
        <v>7.05</v>
      </c>
      <c r="C172" s="466">
        <v>11565.525</v>
      </c>
      <c r="D172" s="466">
        <v>23131.05</v>
      </c>
    </row>
    <row r="173" spans="1:8" ht="15">
      <c r="A173" s="464" t="s">
        <v>389</v>
      </c>
      <c r="B173" s="465">
        <v>15</v>
      </c>
      <c r="C173" s="466">
        <v>24607.5</v>
      </c>
      <c r="D173" s="466">
        <v>49215</v>
      </c>
    </row>
    <row r="174" spans="1:8" ht="15">
      <c r="A174" s="464" t="s">
        <v>391</v>
      </c>
      <c r="B174" s="465">
        <v>15</v>
      </c>
      <c r="C174" s="466">
        <v>24607.5</v>
      </c>
      <c r="D174" s="466">
        <v>49215</v>
      </c>
    </row>
    <row r="175" spans="1:8" ht="15">
      <c r="A175" s="464" t="s">
        <v>393</v>
      </c>
      <c r="B175" s="465">
        <v>22</v>
      </c>
      <c r="C175" s="466">
        <v>36091</v>
      </c>
      <c r="D175" s="466">
        <v>72182</v>
      </c>
    </row>
    <row r="176" spans="1:8" ht="15">
      <c r="A176" s="464" t="s">
        <v>395</v>
      </c>
      <c r="B176" s="465">
        <v>35</v>
      </c>
      <c r="C176" s="466">
        <v>57417.5</v>
      </c>
      <c r="D176" s="466">
        <v>114835</v>
      </c>
    </row>
    <row r="177" spans="1:4" ht="15">
      <c r="A177" s="464" t="s">
        <v>397</v>
      </c>
      <c r="B177" s="465">
        <v>70</v>
      </c>
      <c r="C177" s="466">
        <v>114835</v>
      </c>
      <c r="D177" s="466">
        <v>229670</v>
      </c>
    </row>
  </sheetData>
  <sheetProtection algorithmName="SHA-512" hashValue="kIoTl1Cxlb0jouJ6TjQZEAXd6Tc7t9aZiBqac3otPWyLPcuGIGxfFvptHs+GvYsQhidEvoELWPG+BOVkO7Le4A==" saltValue="au4xgLYg34DsE5fMSCJn/Q==" spinCount="100000" sheet="1" objects="1" scenarios="1"/>
  <customSheetViews>
    <customSheetView guid="{C6E026A6-065F-4BC7-8A1C-5537BAE31A06}" state="hidden" topLeftCell="A100">
      <pageMargins left="0.75" right="0.75" top="1" bottom="1" header="0.5" footer="0.5"/>
      <pageSetup orientation="portrait" horizontalDpi="4294967292" verticalDpi="4294967292" r:id="rId1"/>
    </customSheetView>
    <customSheetView guid="{C1E42E27-80DF-5D46-A74B-2BA4AA86045C}" state="hidden" topLeftCell="A100">
      <pageMargins left="0.75" right="0.75" top="1" bottom="1" header="0.5" footer="0.5"/>
      <pageSetup orientation="portrait" horizontalDpi="4294967292" verticalDpi="4294967292" r:id="rId2"/>
    </customSheetView>
  </customSheetViews>
  <pageMargins left="0.75" right="0.75" top="1" bottom="1" header="0.5" footer="0.5"/>
  <pageSetup orientation="portrait" horizontalDpi="4294967292" verticalDpi="4294967292"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116</vt:i4>
      </vt:variant>
    </vt:vector>
  </HeadingPairs>
  <TitlesOfParts>
    <vt:vector size="132" baseType="lpstr">
      <vt:lpstr>Instructions</vt:lpstr>
      <vt:lpstr>Input</vt:lpstr>
      <vt:lpstr>Results - Collection</vt:lpstr>
      <vt:lpstr>Results - Hub and Spoke</vt:lpstr>
      <vt:lpstr>DropDowns_LookUps</vt:lpstr>
      <vt:lpstr>Results - Transfer &amp; Processing</vt:lpstr>
      <vt:lpstr>Outputs</vt:lpstr>
      <vt:lpstr>AssumptionTables</vt:lpstr>
      <vt:lpstr>Transfer MRF Assumptions</vt:lpstr>
      <vt:lpstr>TonnageImpacts</vt:lpstr>
      <vt:lpstr>ContainerCosts</vt:lpstr>
      <vt:lpstr>TruckCosts</vt:lpstr>
      <vt:lpstr>StaffingCosts</vt:lpstr>
      <vt:lpstr>DisposalCostsRevenues</vt:lpstr>
      <vt:lpstr>Transfer MRF Outputs</vt:lpstr>
      <vt:lpstr>DropOff Capital Cost</vt:lpstr>
      <vt:lpstr>_1st_Shift_capacity</vt:lpstr>
      <vt:lpstr>_2nd_Shift_capacity</vt:lpstr>
      <vt:lpstr>ACR</vt:lpstr>
      <vt:lpstr>Annual_Inflation_Rate</vt:lpstr>
      <vt:lpstr>Benefits_Fringes</vt:lpstr>
      <vt:lpstr>'Transfer MRF Outputs'!Building_Cost_Amortisation</vt:lpstr>
      <vt:lpstr>Building_Cost_Amortisation</vt:lpstr>
      <vt:lpstr>'Transfer MRF Outputs'!Building_Cost_Sensitivity</vt:lpstr>
      <vt:lpstr>Building_Cost_Sensitivity</vt:lpstr>
      <vt:lpstr>'Transfer MRF Outputs'!Building_insurance_cost_per__100_000</vt:lpstr>
      <vt:lpstr>Building_insurance_cost_per__100_000</vt:lpstr>
      <vt:lpstr>'Transfer MRF Outputs'!Building_Maintenance</vt:lpstr>
      <vt:lpstr>Building_Maintenance</vt:lpstr>
      <vt:lpstr>Building_Maintenance_Costs</vt:lpstr>
      <vt:lpstr>Building_utilities</vt:lpstr>
      <vt:lpstr>'Transfer MRF Outputs'!Building_Utility</vt:lpstr>
      <vt:lpstr>Building_Utility</vt:lpstr>
      <vt:lpstr>Capacity_Utilization</vt:lpstr>
      <vt:lpstr>Capital_Inflation_Rate</vt:lpstr>
      <vt:lpstr>Cubic_meter_per_square_foot</vt:lpstr>
      <vt:lpstr>'Transfer MRF Assumptions'!DensityDrop</vt:lpstr>
      <vt:lpstr>'Transfer MRF Outputs'!DensityDrop</vt:lpstr>
      <vt:lpstr>DensityDrop</vt:lpstr>
      <vt:lpstr>DH_Curbside_Cost_perton_per_mile</vt:lpstr>
      <vt:lpstr>'Transfer MRF Assumptions'!DistancetoLF</vt:lpstr>
      <vt:lpstr>'Transfer MRF Outputs'!DistancetoLF</vt:lpstr>
      <vt:lpstr>DistancetoLF</vt:lpstr>
      <vt:lpstr>'Transfer MRF Outputs'!DriverWages</vt:lpstr>
      <vt:lpstr>DriverWages</vt:lpstr>
      <vt:lpstr>Eq_Mantainance_Cost</vt:lpstr>
      <vt:lpstr>'Transfer MRF Outputs'!Equipment_Amortisation</vt:lpstr>
      <vt:lpstr>Equipment_Amortisation</vt:lpstr>
      <vt:lpstr>'Transfer MRF Outputs'!Equipment_Sensitivity</vt:lpstr>
      <vt:lpstr>Equipment_Sensitivity</vt:lpstr>
      <vt:lpstr>'Transfer MRF Outputs'!EquipOperatorWages</vt:lpstr>
      <vt:lpstr>EquipOperatorWages</vt:lpstr>
      <vt:lpstr>Forklift</vt:lpstr>
      <vt:lpstr>'Transfer MRF Assumptions'!Glass</vt:lpstr>
      <vt:lpstr>'Transfer MRF Outputs'!Glass</vt:lpstr>
      <vt:lpstr>Glass</vt:lpstr>
      <vt:lpstr>Haul_Cost</vt:lpstr>
      <vt:lpstr>Haul_Cost_Rolloff</vt:lpstr>
      <vt:lpstr>'Transfer MRF Outputs'!Interest_Rate</vt:lpstr>
      <vt:lpstr>Interest_Rate</vt:lpstr>
      <vt:lpstr>'Transfer MRF Outputs'!Land_Cost_per_acre</vt:lpstr>
      <vt:lpstr>Land_Cost_per_acre</vt:lpstr>
      <vt:lpstr>'Transfer MRF Outputs'!Land_Cost_Sensitivity</vt:lpstr>
      <vt:lpstr>Land_Cost_Sensitivity</vt:lpstr>
      <vt:lpstr>Land_Inflation_Rate</vt:lpstr>
      <vt:lpstr>'Transfer MRF Outputs'!lbs_per_metric_ton</vt:lpstr>
      <vt:lpstr>lbs_per_metric_ton</vt:lpstr>
      <vt:lpstr>'Transfer MRF Outputs'!LH_Cost_per_Ton_per_Mile</vt:lpstr>
      <vt:lpstr>LH_Cost_per_Ton_per_Mile</vt:lpstr>
      <vt:lpstr>'Transfer MRF Outputs'!LLoader</vt:lpstr>
      <vt:lpstr>LLoader</vt:lpstr>
      <vt:lpstr>'Transfer MRF Outputs'!Load_Limit</vt:lpstr>
      <vt:lpstr>Load_Limit</vt:lpstr>
      <vt:lpstr>'Transfer MRF Outputs'!Load_Limit_Rolloff</vt:lpstr>
      <vt:lpstr>Load_Limit_Rolloff</vt:lpstr>
      <vt:lpstr>'Transfer MRF Outputs'!MaintenaeWages</vt:lpstr>
      <vt:lpstr>MaintenaeWages</vt:lpstr>
      <vt:lpstr>Maintenance_Costs</vt:lpstr>
      <vt:lpstr>'Transfer MRF Outputs'!Management_Allowance</vt:lpstr>
      <vt:lpstr>Management_Allowance</vt:lpstr>
      <vt:lpstr>'Transfer MRF Outputs'!MgmtWages</vt:lpstr>
      <vt:lpstr>MgmtWages</vt:lpstr>
      <vt:lpstr>Number_of_Hh_per_Drop_Off_site</vt:lpstr>
      <vt:lpstr>'Transfer MRF Outputs'!One_Way_Trip_Long_Haul_to_MRF</vt:lpstr>
      <vt:lpstr>One_Way_Trip_Long_Haul_to_MRF</vt:lpstr>
      <vt:lpstr>Operating_Inflation_Rate</vt:lpstr>
      <vt:lpstr>'Transfer MRF Assumptions'!ParticipationDrop</vt:lpstr>
      <vt:lpstr>'Transfer MRF Outputs'!ParticipationDrop</vt:lpstr>
      <vt:lpstr>ParticipationDrop</vt:lpstr>
      <vt:lpstr>PpundsperHH</vt:lpstr>
      <vt:lpstr>Instructions!Print_Area</vt:lpstr>
      <vt:lpstr>Outputs!Print_Area</vt:lpstr>
      <vt:lpstr>'Results - Collection'!Print_Area</vt:lpstr>
      <vt:lpstr>'Results - Transfer &amp; Processing'!Print_Area</vt:lpstr>
      <vt:lpstr>Process_Utilities_Costs</vt:lpstr>
      <vt:lpstr>Process_Utility_Cost</vt:lpstr>
      <vt:lpstr>Recycling</vt:lpstr>
      <vt:lpstr>Residue_Disposal_Cost</vt:lpstr>
      <vt:lpstr>'Transfer MRF Outputs'!Revenue_Share</vt:lpstr>
      <vt:lpstr>Revenue_Share</vt:lpstr>
      <vt:lpstr>'Transfer MRF Outputs'!Rolling_Stock_Amortisation</vt:lpstr>
      <vt:lpstr>Rolling_Stock_Amortisation</vt:lpstr>
      <vt:lpstr>'Transfer MRF Outputs'!Rolling_Stock_Sensitivity</vt:lpstr>
      <vt:lpstr>Rolling_Stock_Sensitivity</vt:lpstr>
      <vt:lpstr>Rolloff_Capacity</vt:lpstr>
      <vt:lpstr>Rollofff_Density</vt:lpstr>
      <vt:lpstr>Rollofff_Utilization_Factor</vt:lpstr>
      <vt:lpstr>Run__hours_per_shift</vt:lpstr>
      <vt:lpstr>Safety_Office_Phone_Supplies</vt:lpstr>
      <vt:lpstr>'Transfer MRF Outputs'!ScaleClericalWages</vt:lpstr>
      <vt:lpstr>ScaleClericalWages</vt:lpstr>
      <vt:lpstr>Site_and_Land_Cost_per_acre</vt:lpstr>
      <vt:lpstr>'Transfer MRF Outputs'!Skidsteer</vt:lpstr>
      <vt:lpstr>Skidsteer</vt:lpstr>
      <vt:lpstr>SLoader</vt:lpstr>
      <vt:lpstr>'Transfer MRF Outputs'!SorterWages</vt:lpstr>
      <vt:lpstr>SorterWages</vt:lpstr>
      <vt:lpstr>State_Drop_Down</vt:lpstr>
      <vt:lpstr>StateDropDown</vt:lpstr>
      <vt:lpstr>'Transfer MRF Outputs'!Tax_Rate</vt:lpstr>
      <vt:lpstr>Tax_Rate</vt:lpstr>
      <vt:lpstr>Transfer_Cost_per__sq_feet</vt:lpstr>
      <vt:lpstr>Wage_Inflation_Rate</vt:lpstr>
      <vt:lpstr>'Transfer MRF Outputs'!Workdays_per_Year</vt:lpstr>
      <vt:lpstr>Workdays_per_Year</vt:lpstr>
      <vt:lpstr>'Transfer MRF Outputs'!Xfer_Fuel</vt:lpstr>
      <vt:lpstr>Xfer_Fuel</vt:lpstr>
      <vt:lpstr>'Transfer MRF Outputs'!Xfer_Maint</vt:lpstr>
      <vt:lpstr>Xfer_Maint</vt:lpstr>
      <vt:lpstr>'Transfer MRF Outputs'!Yard_Mule</vt:lpstr>
      <vt:lpstr>Yard_Mule</vt:lpstr>
      <vt:lpstr>Years_till_2025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 Freeman</dc:creator>
  <cp:lastModifiedBy>Juri Freeman</cp:lastModifiedBy>
  <cp:lastPrinted>2016-11-01T21:14:44Z</cp:lastPrinted>
  <dcterms:created xsi:type="dcterms:W3CDTF">2016-06-30T18:27:54Z</dcterms:created>
  <dcterms:modified xsi:type="dcterms:W3CDTF">2017-01-11T16:17:47Z</dcterms:modified>
</cp:coreProperties>
</file>